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225" yWindow="1680" windowWidth="17340" windowHeight="10365" activeTab="5"/>
  </bookViews>
  <sheets>
    <sheet name="Change Log" sheetId="13" r:id="rId1"/>
    <sheet name="Inputs &gt;" sheetId="8" r:id="rId2"/>
    <sheet name="Data" sheetId="1" r:id="rId3"/>
    <sheet name="RPI" sheetId="12" r:id="rId4"/>
    <sheet name="Calcs &gt;" sheetId="9" r:id="rId5"/>
    <sheet name="WRFIM - Water" sheetId="5" r:id="rId6"/>
    <sheet name="WRFIM - Waste" sheetId="6" r:id="rId7"/>
    <sheet name="Output &gt;" sheetId="10" r:id="rId8"/>
    <sheet name="WFRIM adjustments" sheetId="7" r:id="rId9"/>
    <sheet name="Other &gt;" sheetId="11" r:id="rId10"/>
    <sheet name="Timeline" sheetId="3" r:id="rId11"/>
  </sheets>
  <definedNames>
    <definedName name="Additional.Analysis">Data!$G$22</definedName>
    <definedName name="Adj.AllRev.Waste">'WRFIM - Waste'!$I$38:$U$38</definedName>
    <definedName name="Adj.AllRev.Water">'WRFIM - Water'!$I$38:$U$38</definedName>
    <definedName name="AllRev.Outturn.Waste">'WRFIM - Waste'!$I$15:$U$15</definedName>
    <definedName name="AllRev.Outturn.Water">'WRFIM - Water'!$I$15:$U$15</definedName>
    <definedName name="AllRev.Waste">Data!$I$28:$U$28</definedName>
    <definedName name="AllRev.Water">Data!$I$27:$U$27</definedName>
    <definedName name="AMP.Years">Timeline!$I$3:$U$3</definedName>
    <definedName name="AMP5.RCM.Adj.Waste">'WRFIM - Waste'!$K$19</definedName>
    <definedName name="AMP5.RCM.Adj.Water">'WRFIM - Water'!$K$19</definedName>
    <definedName name="AMP6.FI.Adj.Waste">'WRFIM - Waste'!$I$32:$U$32</definedName>
    <definedName name="AMP6.FI.Adj.Water">'WRFIM - Water'!$I$32:$U$32</definedName>
    <definedName name="Baseline.AllRev.Waste">'WRFIM - Waste'!$I$39:$U$39</definedName>
    <definedName name="Baseline.AllRev.Water">'WRFIM - Water'!$I$39:$U$39</definedName>
    <definedName name="BlindYear.1415.Adj.Waste">Data!$K$43</definedName>
    <definedName name="BlindYear.1415.Adj.Water">Data!$K$42</definedName>
    <definedName name="BlindYear.Delay">Data!#REF!</definedName>
    <definedName name="Calendar.Years">Timeline!$I$5:$U$5</definedName>
    <definedName name="Discount.Rate">Data!$G$20</definedName>
    <definedName name="Indexation.Average">RPI!$I$56:$U$56</definedName>
    <definedName name="Indexation.Average.Override">RPI!$I$55:$U$55</definedName>
    <definedName name="Indexation.Check">RPI!$I$26:$U$26</definedName>
    <definedName name="Indexation.November">RPI!$I$45:$U$45</definedName>
    <definedName name="Indexation.November.Actual">RPI!$I$49:$U$49</definedName>
    <definedName name="Indexation.November.Actual.Override">RPI!$I$48:$U$48</definedName>
    <definedName name="Indexation.November.Actual.YearOnYear">RPI!$I$51:$U$51</definedName>
    <definedName name="Indexation.November.Override">RPI!$I$44:$U$44</definedName>
    <definedName name="Inflation.Yearly.Average">RPI!$I$58:$U$58</definedName>
    <definedName name="K.Waste">Data!$I$32:$U$32</definedName>
    <definedName name="K.Water">Data!$I$31:$U$31</definedName>
    <definedName name="Penalty.Rate.General">Data!$G$19</definedName>
    <definedName name="Penalty.Rate.Waste">'WRFIM - Waste'!#REF!</definedName>
    <definedName name="Penalty.Rate.Water">'WRFIM - Water'!#REF!</definedName>
    <definedName name="Perc.Recovered.Waste">'WRFIM - Waste'!$I$44:$U$44</definedName>
    <definedName name="Perc.Recovered.Water">'WRFIM - Water'!$I$44:$U$44</definedName>
    <definedName name="_xlnm.Print_Area" localSheetId="3">RPI!$A$1:$V$58</definedName>
    <definedName name="_xlnm.Print_Area" localSheetId="6">'WRFIM - Waste'!$D$1:$R$85</definedName>
    <definedName name="_xlnm.Print_Area" localSheetId="5">'WRFIM - Water'!$D$1:$R$85</definedName>
    <definedName name="RCM.BlindYear.Adj.Waste">'WRFIM - Waste'!$I$23:$U$23</definedName>
    <definedName name="RCM.BlindYear.Adj.Water">'WRFIM - Water'!$I$23:$U$23</definedName>
    <definedName name="RecRev.Waste">Data!$I$37:$U$37</definedName>
    <definedName name="RecRev.Water">Data!$I$36:$U$36</definedName>
    <definedName name="Threshold.Max">Data!$G$17</definedName>
    <definedName name="Threshold.Min">Data!$G$16</definedName>
    <definedName name="WRFIM.Waste">'WRFIM - Waste'!$P$84</definedName>
    <definedName name="WRFIM.Water">'WRFIM - Water'!$P$84</definedName>
  </definedNames>
  <calcPr calcId="145621" calcOnSave="0"/>
</workbook>
</file>

<file path=xl/calcChain.xml><?xml version="1.0" encoding="utf-8"?>
<calcChain xmlns="http://schemas.openxmlformats.org/spreadsheetml/2006/main">
  <c r="E82" i="6" l="1"/>
  <c r="E82" i="5"/>
  <c r="E36" i="5" l="1"/>
  <c r="E34" i="5"/>
  <c r="P36" i="5" l="1"/>
  <c r="O34" i="5"/>
  <c r="P36" i="6"/>
  <c r="O34" i="6"/>
  <c r="E36" i="6"/>
  <c r="E34" i="6"/>
  <c r="H33" i="6" l="1"/>
  <c r="G33" i="6"/>
  <c r="E33" i="6"/>
  <c r="D33" i="6"/>
  <c r="H33" i="5"/>
  <c r="G33" i="5"/>
  <c r="D33" i="5"/>
  <c r="E33" i="5"/>
  <c r="Q44" i="1"/>
  <c r="E21" i="6"/>
  <c r="N21" i="6"/>
  <c r="E21" i="5"/>
  <c r="P21" i="5"/>
  <c r="O21" i="5"/>
  <c r="N21" i="5"/>
  <c r="P21" i="6"/>
  <c r="O21" i="6"/>
  <c r="Q45" i="1"/>
  <c r="K15" i="6"/>
  <c r="K15" i="5"/>
  <c r="L12" i="5"/>
  <c r="L12" i="6"/>
  <c r="P12" i="6"/>
  <c r="O12" i="6"/>
  <c r="N12" i="6"/>
  <c r="M12" i="6"/>
  <c r="P12" i="5"/>
  <c r="O12" i="5"/>
  <c r="N12" i="5"/>
  <c r="M12" i="5"/>
  <c r="M32" i="5"/>
  <c r="L32" i="5"/>
  <c r="M32" i="6"/>
  <c r="L32" i="6"/>
  <c r="P41" i="6"/>
  <c r="O41" i="6"/>
  <c r="N41" i="6"/>
  <c r="M41" i="6"/>
  <c r="L41" i="6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29" i="12"/>
  <c r="J29" i="12"/>
  <c r="K29" i="12"/>
  <c r="L29" i="12"/>
  <c r="M29" i="12"/>
  <c r="I30" i="12"/>
  <c r="J30" i="12"/>
  <c r="K30" i="12"/>
  <c r="L30" i="12"/>
  <c r="M30" i="12"/>
  <c r="N30" i="12"/>
  <c r="O30" i="12" s="1"/>
  <c r="P30" i="12" s="1"/>
  <c r="Q30" i="12" s="1"/>
  <c r="R30" i="12" s="1"/>
  <c r="S30" i="12" s="1"/>
  <c r="T30" i="12" s="1"/>
  <c r="U30" i="12" s="1"/>
  <c r="I31" i="12"/>
  <c r="J31" i="12"/>
  <c r="K31" i="12"/>
  <c r="L31" i="12"/>
  <c r="M31" i="12"/>
  <c r="N31" i="12" s="1"/>
  <c r="O31" i="12" s="1"/>
  <c r="P31" i="12" s="1"/>
  <c r="Q31" i="12" s="1"/>
  <c r="R31" i="12" s="1"/>
  <c r="S31" i="12" s="1"/>
  <c r="T31" i="12" s="1"/>
  <c r="U31" i="12" s="1"/>
  <c r="I32" i="12"/>
  <c r="J32" i="12"/>
  <c r="K32" i="12"/>
  <c r="L32" i="12"/>
  <c r="M32" i="12"/>
  <c r="N32" i="12" s="1"/>
  <c r="I33" i="12"/>
  <c r="J33" i="12"/>
  <c r="K33" i="12"/>
  <c r="L33" i="12"/>
  <c r="M33" i="12"/>
  <c r="N33" i="12" s="1"/>
  <c r="O33" i="12" s="1"/>
  <c r="P33" i="12" s="1"/>
  <c r="Q33" i="12" s="1"/>
  <c r="R33" i="12" s="1"/>
  <c r="S33" i="12" s="1"/>
  <c r="T33" i="12" s="1"/>
  <c r="U33" i="12" s="1"/>
  <c r="I34" i="12"/>
  <c r="J34" i="12"/>
  <c r="K34" i="12"/>
  <c r="L34" i="12"/>
  <c r="M34" i="12"/>
  <c r="N34" i="12" s="1"/>
  <c r="O34" i="12" s="1"/>
  <c r="P34" i="12" s="1"/>
  <c r="Q34" i="12" s="1"/>
  <c r="R34" i="12" s="1"/>
  <c r="S34" i="12" s="1"/>
  <c r="T34" i="12" s="1"/>
  <c r="U34" i="12" s="1"/>
  <c r="I35" i="12"/>
  <c r="J35" i="12"/>
  <c r="K35" i="12"/>
  <c r="L35" i="12"/>
  <c r="M35" i="12"/>
  <c r="N35" i="12" s="1"/>
  <c r="O35" i="12" s="1"/>
  <c r="P35" i="12" s="1"/>
  <c r="Q35" i="12" s="1"/>
  <c r="R35" i="12" s="1"/>
  <c r="S35" i="12" s="1"/>
  <c r="T35" i="12" s="1"/>
  <c r="U35" i="12" s="1"/>
  <c r="H36" i="12"/>
  <c r="I37" i="12"/>
  <c r="J37" i="12"/>
  <c r="K37" i="12"/>
  <c r="L37" i="12"/>
  <c r="M37" i="12"/>
  <c r="N37" i="12" s="1"/>
  <c r="O37" i="12" s="1"/>
  <c r="P37" i="12" s="1"/>
  <c r="Q37" i="12" s="1"/>
  <c r="R37" i="12" s="1"/>
  <c r="S37" i="12" s="1"/>
  <c r="T37" i="12" s="1"/>
  <c r="U37" i="12" s="1"/>
  <c r="I38" i="12"/>
  <c r="J38" i="12"/>
  <c r="K38" i="12"/>
  <c r="L38" i="12"/>
  <c r="M38" i="12"/>
  <c r="N38" i="12" s="1"/>
  <c r="O38" i="12" s="1"/>
  <c r="P38" i="12" s="1"/>
  <c r="Q38" i="12" s="1"/>
  <c r="R38" i="12" s="1"/>
  <c r="S38" i="12" s="1"/>
  <c r="T38" i="12" s="1"/>
  <c r="U38" i="12" s="1"/>
  <c r="I39" i="12"/>
  <c r="J39" i="12"/>
  <c r="K39" i="12"/>
  <c r="L39" i="12"/>
  <c r="M39" i="12"/>
  <c r="N39" i="12" s="1"/>
  <c r="O39" i="12" s="1"/>
  <c r="P39" i="12" s="1"/>
  <c r="Q39" i="12" s="1"/>
  <c r="R39" i="12" s="1"/>
  <c r="S39" i="12" s="1"/>
  <c r="T39" i="12" s="1"/>
  <c r="U39" i="12" s="1"/>
  <c r="I40" i="12"/>
  <c r="J40" i="12"/>
  <c r="K40" i="12"/>
  <c r="L40" i="12"/>
  <c r="M40" i="12"/>
  <c r="N40" i="12" s="1"/>
  <c r="O40" i="12" s="1"/>
  <c r="P40" i="12" s="1"/>
  <c r="Q40" i="12" s="1"/>
  <c r="R40" i="12" s="1"/>
  <c r="S40" i="12" s="1"/>
  <c r="T40" i="12" s="1"/>
  <c r="U40" i="12" s="1"/>
  <c r="I36" i="12"/>
  <c r="N29" i="12"/>
  <c r="O29" i="12" s="1"/>
  <c r="P29" i="12" s="1"/>
  <c r="J36" i="12"/>
  <c r="K36" i="12"/>
  <c r="L36" i="12"/>
  <c r="M36" i="12"/>
  <c r="K19" i="6"/>
  <c r="K20" i="6" s="1"/>
  <c r="L20" i="6" s="1"/>
  <c r="M20" i="6" s="1"/>
  <c r="N20" i="6" s="1"/>
  <c r="K19" i="5"/>
  <c r="K20" i="5" s="1"/>
  <c r="J5" i="7"/>
  <c r="K5" i="7"/>
  <c r="L5" i="7"/>
  <c r="M5" i="7"/>
  <c r="N5" i="7"/>
  <c r="O5" i="7"/>
  <c r="P5" i="7"/>
  <c r="Q5" i="7"/>
  <c r="R5" i="7"/>
  <c r="S5" i="7"/>
  <c r="T5" i="7"/>
  <c r="U5" i="7"/>
  <c r="I5" i="7"/>
  <c r="J3" i="7"/>
  <c r="K3" i="7"/>
  <c r="L3" i="7"/>
  <c r="M3" i="7"/>
  <c r="N3" i="7"/>
  <c r="O3" i="7"/>
  <c r="P3" i="7"/>
  <c r="Q3" i="7"/>
  <c r="R3" i="7"/>
  <c r="S3" i="7"/>
  <c r="T3" i="7"/>
  <c r="U3" i="7"/>
  <c r="I3" i="7"/>
  <c r="U5" i="6"/>
  <c r="T5" i="6"/>
  <c r="S5" i="6"/>
  <c r="R5" i="6"/>
  <c r="Q5" i="6"/>
  <c r="P5" i="6"/>
  <c r="O5" i="6"/>
  <c r="N5" i="6"/>
  <c r="M5" i="6"/>
  <c r="L5" i="6"/>
  <c r="K5" i="6"/>
  <c r="J5" i="6"/>
  <c r="I5" i="6"/>
  <c r="U3" i="6"/>
  <c r="T3" i="6"/>
  <c r="S3" i="6"/>
  <c r="R3" i="6"/>
  <c r="Q3" i="6"/>
  <c r="P3" i="6"/>
  <c r="O3" i="6"/>
  <c r="N3" i="6"/>
  <c r="M3" i="6"/>
  <c r="L3" i="6"/>
  <c r="K3" i="6"/>
  <c r="J3" i="6"/>
  <c r="I3" i="6"/>
  <c r="L41" i="5"/>
  <c r="M41" i="5"/>
  <c r="N41" i="5"/>
  <c r="O41" i="5"/>
  <c r="P41" i="5"/>
  <c r="S3" i="1"/>
  <c r="T3" i="1"/>
  <c r="U3" i="1"/>
  <c r="S5" i="1"/>
  <c r="T5" i="1"/>
  <c r="U5" i="1"/>
  <c r="T3" i="5"/>
  <c r="U3" i="5"/>
  <c r="T5" i="5"/>
  <c r="U5" i="5"/>
  <c r="S5" i="5"/>
  <c r="R5" i="5"/>
  <c r="Q5" i="5"/>
  <c r="P5" i="5"/>
  <c r="O5" i="5"/>
  <c r="N5" i="5"/>
  <c r="M5" i="5"/>
  <c r="L5" i="5"/>
  <c r="K5" i="5"/>
  <c r="J5" i="5"/>
  <c r="I5" i="5"/>
  <c r="S3" i="5"/>
  <c r="R3" i="5"/>
  <c r="Q3" i="5"/>
  <c r="P3" i="5"/>
  <c r="O3" i="5"/>
  <c r="N3" i="5"/>
  <c r="M3" i="5"/>
  <c r="L3" i="5"/>
  <c r="K3" i="5"/>
  <c r="J3" i="5"/>
  <c r="I3" i="5"/>
  <c r="R5" i="1"/>
  <c r="Q5" i="1"/>
  <c r="P5" i="1"/>
  <c r="O5" i="1"/>
  <c r="N5" i="1"/>
  <c r="M5" i="1"/>
  <c r="L5" i="1"/>
  <c r="J5" i="1"/>
  <c r="I5" i="1"/>
  <c r="K5" i="1"/>
  <c r="R3" i="1"/>
  <c r="Q3" i="1"/>
  <c r="P3" i="1"/>
  <c r="O3" i="1"/>
  <c r="N3" i="1"/>
  <c r="M3" i="1"/>
  <c r="L3" i="1"/>
  <c r="K3" i="1"/>
  <c r="J3" i="1"/>
  <c r="I3" i="1"/>
  <c r="L20" i="5" l="1"/>
  <c r="M20" i="5" s="1"/>
  <c r="N20" i="5" s="1"/>
  <c r="P25" i="5"/>
  <c r="P25" i="6"/>
  <c r="L51" i="12"/>
  <c r="L13" i="6" s="1"/>
  <c r="L14" i="6" s="1"/>
  <c r="L15" i="6" s="1"/>
  <c r="L38" i="6" s="1"/>
  <c r="K51" i="12"/>
  <c r="J51" i="12"/>
  <c r="O20" i="6"/>
  <c r="P20" i="6" s="1"/>
  <c r="N22" i="6"/>
  <c r="J49" i="12"/>
  <c r="N49" i="12"/>
  <c r="K49" i="12"/>
  <c r="I49" i="12"/>
  <c r="L49" i="12"/>
  <c r="M49" i="12"/>
  <c r="I41" i="12"/>
  <c r="M51" i="12"/>
  <c r="N51" i="12"/>
  <c r="Q29" i="12"/>
  <c r="K41" i="12"/>
  <c r="L41" i="12"/>
  <c r="M41" i="12"/>
  <c r="O32" i="12"/>
  <c r="J41" i="12"/>
  <c r="N36" i="12"/>
  <c r="O49" i="12" s="1"/>
  <c r="N22" i="5" l="1"/>
  <c r="N23" i="5" s="1"/>
  <c r="O20" i="5"/>
  <c r="P22" i="6"/>
  <c r="P26" i="6"/>
  <c r="P27" i="6" s="1"/>
  <c r="L13" i="5"/>
  <c r="L14" i="5" s="1"/>
  <c r="L15" i="5" s="1"/>
  <c r="O22" i="6"/>
  <c r="O23" i="6" s="1"/>
  <c r="N23" i="6"/>
  <c r="O36" i="12"/>
  <c r="P49" i="12" s="1"/>
  <c r="O22" i="5"/>
  <c r="O23" i="5" s="1"/>
  <c r="P20" i="5"/>
  <c r="P26" i="5" s="1"/>
  <c r="P27" i="5" s="1"/>
  <c r="N13" i="6"/>
  <c r="N14" i="6" s="1"/>
  <c r="N13" i="5"/>
  <c r="N14" i="5" s="1"/>
  <c r="M13" i="5"/>
  <c r="M14" i="5" s="1"/>
  <c r="M13" i="6"/>
  <c r="M14" i="6" s="1"/>
  <c r="M15" i="6" s="1"/>
  <c r="M38" i="6" s="1"/>
  <c r="O51" i="12"/>
  <c r="N41" i="12"/>
  <c r="L37" i="6"/>
  <c r="P32" i="12"/>
  <c r="R29" i="12"/>
  <c r="P28" i="6" l="1"/>
  <c r="P82" i="6" s="1"/>
  <c r="P22" i="5"/>
  <c r="P28" i="5"/>
  <c r="P82" i="5" s="1"/>
  <c r="L37" i="5"/>
  <c r="L38" i="5"/>
  <c r="L43" i="6"/>
  <c r="L47" i="6" s="1"/>
  <c r="L48" i="6" s="1"/>
  <c r="M15" i="5"/>
  <c r="O41" i="12"/>
  <c r="P51" i="12"/>
  <c r="N15" i="6"/>
  <c r="M37" i="6"/>
  <c r="Q32" i="12"/>
  <c r="S29" i="12"/>
  <c r="O13" i="5"/>
  <c r="O14" i="5" s="1"/>
  <c r="O13" i="6"/>
  <c r="O14" i="6" s="1"/>
  <c r="P23" i="6"/>
  <c r="P36" i="12"/>
  <c r="Q49" i="12" s="1"/>
  <c r="L39" i="5" l="1"/>
  <c r="L52" i="5" s="1"/>
  <c r="L53" i="5" s="1"/>
  <c r="L54" i="5" s="1"/>
  <c r="L56" i="5" s="1"/>
  <c r="L57" i="5" s="1"/>
  <c r="L58" i="5" s="1"/>
  <c r="N59" i="5" s="1"/>
  <c r="N63" i="5" s="1"/>
  <c r="P13" i="5"/>
  <c r="P14" i="5" s="1"/>
  <c r="P35" i="5"/>
  <c r="P35" i="6"/>
  <c r="M37" i="5"/>
  <c r="L39" i="6"/>
  <c r="L52" i="6" s="1"/>
  <c r="L53" i="6" s="1"/>
  <c r="L54" i="6" s="1"/>
  <c r="L56" i="6" s="1"/>
  <c r="L57" i="6" s="1"/>
  <c r="L58" i="6" s="1"/>
  <c r="N59" i="6" s="1"/>
  <c r="N63" i="6" s="1"/>
  <c r="N15" i="5"/>
  <c r="O15" i="5" s="1"/>
  <c r="M38" i="5"/>
  <c r="M43" i="5" s="1"/>
  <c r="M47" i="5" s="1"/>
  <c r="M48" i="5" s="1"/>
  <c r="L43" i="5"/>
  <c r="L47" i="5" s="1"/>
  <c r="L48" i="5" s="1"/>
  <c r="P13" i="6"/>
  <c r="P14" i="6" s="1"/>
  <c r="M43" i="6"/>
  <c r="M47" i="6" s="1"/>
  <c r="M48" i="6" s="1"/>
  <c r="Q51" i="12"/>
  <c r="N49" i="6"/>
  <c r="N62" i="6" s="1"/>
  <c r="Q36" i="12"/>
  <c r="R49" i="12" s="1"/>
  <c r="L44" i="5"/>
  <c r="L67" i="5" s="1"/>
  <c r="P41" i="12"/>
  <c r="T29" i="12"/>
  <c r="R32" i="12"/>
  <c r="P23" i="5"/>
  <c r="L44" i="6"/>
  <c r="L67" i="6" s="1"/>
  <c r="N37" i="6"/>
  <c r="O15" i="6"/>
  <c r="N32" i="5" l="1"/>
  <c r="N38" i="5" s="1"/>
  <c r="N37" i="5"/>
  <c r="M39" i="5"/>
  <c r="M52" i="5" s="1"/>
  <c r="M53" i="5" s="1"/>
  <c r="M54" i="5" s="1"/>
  <c r="M56" i="5" s="1"/>
  <c r="M57" i="5" s="1"/>
  <c r="M58" i="5" s="1"/>
  <c r="O59" i="5" s="1"/>
  <c r="O63" i="5" s="1"/>
  <c r="N32" i="6"/>
  <c r="N38" i="6" s="1"/>
  <c r="N43" i="6" s="1"/>
  <c r="N47" i="6" s="1"/>
  <c r="N48" i="6" s="1"/>
  <c r="N64" i="6"/>
  <c r="N49" i="5"/>
  <c r="N62" i="5" s="1"/>
  <c r="N64" i="5" s="1"/>
  <c r="M39" i="6"/>
  <c r="M52" i="6" s="1"/>
  <c r="M53" i="6" s="1"/>
  <c r="M54" i="6" s="1"/>
  <c r="M56" i="6" s="1"/>
  <c r="M57" i="6" s="1"/>
  <c r="M58" i="6" s="1"/>
  <c r="O59" i="6" s="1"/>
  <c r="O63" i="6" s="1"/>
  <c r="Q41" i="12"/>
  <c r="R51" i="12"/>
  <c r="M44" i="6"/>
  <c r="M67" i="6" s="1"/>
  <c r="M44" i="5"/>
  <c r="M67" i="5" s="1"/>
  <c r="P15" i="6"/>
  <c r="O37" i="6"/>
  <c r="P15" i="5"/>
  <c r="O37" i="5"/>
  <c r="S32" i="12"/>
  <c r="O49" i="5"/>
  <c r="O62" i="5" s="1"/>
  <c r="O64" i="5" s="1"/>
  <c r="U29" i="12"/>
  <c r="R36" i="12"/>
  <c r="S49" i="12" s="1"/>
  <c r="N39" i="6"/>
  <c r="N52" i="6" s="1"/>
  <c r="N53" i="6" s="1"/>
  <c r="N54" i="6" s="1"/>
  <c r="N56" i="6" s="1"/>
  <c r="N57" i="6" s="1"/>
  <c r="N58" i="6" s="1"/>
  <c r="P59" i="6" s="1"/>
  <c r="P63" i="6" s="1"/>
  <c r="O49" i="6"/>
  <c r="O62" i="6" s="1"/>
  <c r="N43" i="5" l="1"/>
  <c r="N47" i="5" s="1"/>
  <c r="N48" i="5" s="1"/>
  <c r="P49" i="5" s="1"/>
  <c r="P62" i="5" s="1"/>
  <c r="P64" i="5" s="1"/>
  <c r="N39" i="5"/>
  <c r="N52" i="5" s="1"/>
  <c r="N53" i="5" s="1"/>
  <c r="N54" i="5" s="1"/>
  <c r="N56" i="5" s="1"/>
  <c r="N57" i="5" s="1"/>
  <c r="N58" i="5" s="1"/>
  <c r="P59" i="5" s="1"/>
  <c r="P63" i="5" s="1"/>
  <c r="O32" i="5"/>
  <c r="O38" i="5" s="1"/>
  <c r="O43" i="5" s="1"/>
  <c r="P72" i="5" s="1"/>
  <c r="O64" i="6"/>
  <c r="O32" i="6"/>
  <c r="O38" i="6" s="1"/>
  <c r="O39" i="6" s="1"/>
  <c r="O52" i="6" s="1"/>
  <c r="O53" i="6" s="1"/>
  <c r="O54" i="6" s="1"/>
  <c r="O56" i="6" s="1"/>
  <c r="P73" i="6" s="1"/>
  <c r="P49" i="6"/>
  <c r="P62" i="6" s="1"/>
  <c r="P64" i="6" s="1"/>
  <c r="P32" i="6"/>
  <c r="P38" i="6" s="1"/>
  <c r="T32" i="12"/>
  <c r="S36" i="12"/>
  <c r="T49" i="12" s="1"/>
  <c r="R41" i="12"/>
  <c r="P37" i="5"/>
  <c r="S51" i="12"/>
  <c r="N44" i="6"/>
  <c r="N67" i="6" s="1"/>
  <c r="P37" i="6"/>
  <c r="N44" i="5" l="1"/>
  <c r="N67" i="5" s="1"/>
  <c r="P32" i="5"/>
  <c r="O43" i="6"/>
  <c r="P72" i="6" s="1"/>
  <c r="P38" i="5"/>
  <c r="P43" i="5" s="1"/>
  <c r="P77" i="5" s="1"/>
  <c r="O39" i="5"/>
  <c r="O52" i="5" s="1"/>
  <c r="O53" i="5" s="1"/>
  <c r="O54" i="5" s="1"/>
  <c r="O56" i="5" s="1"/>
  <c r="P73" i="5" s="1"/>
  <c r="P74" i="5" s="1"/>
  <c r="O44" i="5"/>
  <c r="O67" i="5" s="1"/>
  <c r="P43" i="6"/>
  <c r="P77" i="6" s="1"/>
  <c r="P39" i="6"/>
  <c r="P52" i="6" s="1"/>
  <c r="P53" i="6" s="1"/>
  <c r="P54" i="6" s="1"/>
  <c r="P56" i="6" s="1"/>
  <c r="P78" i="6" s="1"/>
  <c r="P44" i="6"/>
  <c r="P67" i="6" s="1"/>
  <c r="T36" i="12"/>
  <c r="S41" i="12"/>
  <c r="U32" i="12"/>
  <c r="O44" i="6"/>
  <c r="O67" i="6" s="1"/>
  <c r="T51" i="12"/>
  <c r="P74" i="6"/>
  <c r="P39" i="5" l="1"/>
  <c r="P52" i="5" s="1"/>
  <c r="P53" i="5" s="1"/>
  <c r="P54" i="5" s="1"/>
  <c r="P56" i="5" s="1"/>
  <c r="P78" i="5" s="1"/>
  <c r="P79" i="5" s="1"/>
  <c r="P84" i="5" s="1"/>
  <c r="P44" i="5"/>
  <c r="P67" i="5" s="1"/>
  <c r="U51" i="12"/>
  <c r="U49" i="12"/>
  <c r="U36" i="12"/>
  <c r="U41" i="12" s="1"/>
  <c r="T41" i="12"/>
  <c r="P79" i="6"/>
  <c r="P84" i="6" s="1"/>
  <c r="P12" i="7" l="1"/>
  <c r="P10" i="7"/>
</calcChain>
</file>

<file path=xl/sharedStrings.xml><?xml version="1.0" encoding="utf-8"?>
<sst xmlns="http://schemas.openxmlformats.org/spreadsheetml/2006/main" count="596" uniqueCount="256">
  <si>
    <t>Change log</t>
  </si>
  <si>
    <t>#</t>
  </si>
  <si>
    <t>Issue</t>
  </si>
  <si>
    <t>Change</t>
  </si>
  <si>
    <t>Sheet</t>
  </si>
  <si>
    <t>Row</t>
  </si>
  <si>
    <t xml:space="preserve">Company noted that the Ofwat excel model ‘Data sheet’ sheet rows 27 and 28 requires the allowed revenue for water and wastewater to be entered at 2012-13 price base. If this is taken from the wholesale allowed revenue shown in the FD company-specific appendix, e.g. water Table A2.10 final row, the re-pricing applied in the Ofwat excel spreadsheet will not generate the correct allowed revenue to be used as the basis for companies’ price setting. </t>
  </si>
  <si>
    <t>Example updated to use allowed revenue per FD company letter and applying the licence approach of Rt=Rt-1 * 1+(RPI+Kt)/100</t>
  </si>
  <si>
    <t>WFRIM - Water
WFRIM - Waste</t>
  </si>
  <si>
    <t>13 &amp; 20</t>
  </si>
  <si>
    <t>Company pointed out an issue in implementation of RPI compounding from t-2 to t. WRFIM-water tab cell L39 (and hence N41) inflates cell L30 by applying the RPI movement from 2012-13 to 2016-17 and then 2012-13 to 2017-18 prices. As cell L30 is already at 2015-16 prices, the indexation applied should be from 2015-16 to 2016-17 and then from 2016-17 to 2017-18 prices. Similar indexing issues will apply in future years and also in the WRFIM wastewater tab.</t>
  </si>
  <si>
    <t>Updated to use a Nov-Nov year on year RPI series, removing the issue that stemmed from the compound index series.</t>
  </si>
  <si>
    <t>39 &amp; 49</t>
  </si>
  <si>
    <t>Company requested that the WRFIM penalty components be split into two components (indexation and penalty) for transparency. They also pointed out a typo in the RPI used for uplift in the illustrative example.</t>
  </si>
  <si>
    <t>New WFRIM formula clearly distinguishes the penalty and the revenue deltas. Implementation of the formula has been performed such that the indexation is applied separately for transparency.</t>
  </si>
  <si>
    <t>Rows 23 onwards</t>
  </si>
  <si>
    <t>Two companies noted there is a possible unintended consequence in the application of the WRFIM formula which applies penalties for both under and over-recovery of revenues. They noted that where there is an under-recovery of revenues in one year they cannot subsequently over-recover to compensate for this due to the constraints of their licence which forms a cap on revenue.</t>
  </si>
  <si>
    <t>New WFRIM formula seeks to address this.</t>
  </si>
  <si>
    <t>Wrong year referenced in WRIFM water worksheet. Allowed Revenue from FD for 2015/16 incorrectly references 2014/15</t>
  </si>
  <si>
    <t>Formula in cell L28 amended to reference L15.</t>
  </si>
  <si>
    <t>WRIFM - Water</t>
  </si>
  <si>
    <t>L28</t>
  </si>
  <si>
    <t xml:space="preserve">Formatting of Cells L27 and L28 on Data worksheet incorrect. </t>
  </si>
  <si>
    <t>K27 and K28 formatted as input cells. L27 and L28 formatted as blank cells.</t>
  </si>
  <si>
    <t>Data</t>
  </si>
  <si>
    <t>L28,L27, K27, K28</t>
  </si>
  <si>
    <t>Financing costs incorrectly applied to year 4 penalty</t>
  </si>
  <si>
    <t>Financing costs removed from formulae</t>
  </si>
  <si>
    <t>WRFIM - Water
WRFIM - Waste</t>
  </si>
  <si>
    <t>P64</t>
  </si>
  <si>
    <t>Ability to spread RCM adjustment to smooth impact on customers</t>
  </si>
  <si>
    <t>Added functionality to take RCM adjustments over 1,2, 3 or more years</t>
  </si>
  <si>
    <t xml:space="preserve">Data
WRFIM - Water
WRFIM - Waste
</t>
  </si>
  <si>
    <t>Data row 44 and 45
WRFIM Water and Waste rows 20-22</t>
  </si>
  <si>
    <t>Model does not take into account potential penalties incurred in year 4 and year 5</t>
  </si>
  <si>
    <t>Copy formulae in WRIFM - Water and WRIFM - Waste N48 into O48 and P48</t>
  </si>
  <si>
    <t>N48 and P48</t>
  </si>
  <si>
    <t>Inflation of RCM element of WRFIM changed from year average to Nov-Nov movements</t>
  </si>
  <si>
    <t>Change inflation uplift from year cumulative year average (Indexation.Average) to Cumulative November (Indexation.November.Actual)</t>
  </si>
  <si>
    <t>Row 23</t>
  </si>
  <si>
    <t>Model modified to work for companies who accept licence modification</t>
  </si>
  <si>
    <t>True/False flag added to data worksheet. When 'True' AR* is defined as AR (Formula changes from min of rows 29 to 30 to equal row 30).</t>
  </si>
  <si>
    <t>WRFIM - Water
WRFIM - Waste
Data</t>
  </si>
  <si>
    <t>Row 31 WRFIM sheets
Data row 12</t>
  </si>
  <si>
    <t>Line description</t>
  </si>
  <si>
    <t>E24 description aligned with business plan table App23</t>
  </si>
  <si>
    <t>RPI</t>
  </si>
  <si>
    <t>E24</t>
  </si>
  <si>
    <t>Incorrect cell references</t>
  </si>
  <si>
    <t>Rows 49 and 51 changed to reference row 36</t>
  </si>
  <si>
    <t>Row 49 and 51</t>
  </si>
  <si>
    <t>Redundant lines</t>
  </si>
  <si>
    <t>Rows 43-45, 54-56 and 58</t>
  </si>
  <si>
    <t>Display formatting of cells incorrect</t>
  </si>
  <si>
    <t>K27, K28, rows 36, 37 and 42 to 45 formatted to display correct decimal places</t>
  </si>
  <si>
    <t>K27, K28, rows 36, 37, 42 to K43</t>
  </si>
  <si>
    <t>WRFIM inputs</t>
  </si>
  <si>
    <t>Year</t>
  </si>
  <si>
    <t>Calendar year</t>
  </si>
  <si>
    <t>Year number</t>
  </si>
  <si>
    <t>Model inputs</t>
  </si>
  <si>
    <t>Text</t>
  </si>
  <si>
    <t>Company Name</t>
  </si>
  <si>
    <t>Company Type</t>
  </si>
  <si>
    <t>True/False</t>
  </si>
  <si>
    <t>Company has accepted WRFIM licence modification</t>
  </si>
  <si>
    <t>WRFIM Parameters</t>
  </si>
  <si>
    <t>Penalty rate scaling</t>
  </si>
  <si>
    <t>% 2dp</t>
  </si>
  <si>
    <t>Minimum threshold (+/-)</t>
  </si>
  <si>
    <t>Threshold.Min</t>
  </si>
  <si>
    <t>Maximum threshold (+/-)</t>
  </si>
  <si>
    <t>Threshold.Max</t>
  </si>
  <si>
    <t>Penalty rate (+/-)</t>
  </si>
  <si>
    <t>Penalty.Rate.General</t>
  </si>
  <si>
    <t>Specified discount rate</t>
  </si>
  <si>
    <t>Discount.Rate</t>
  </si>
  <si>
    <t>Threshold for additional variance analyses (+/-)</t>
  </si>
  <si>
    <t>Additional.Analysis</t>
  </si>
  <si>
    <t>Revenue</t>
  </si>
  <si>
    <t>Allowed revenue</t>
  </si>
  <si>
    <t>£m 3dp</t>
  </si>
  <si>
    <t>Allowed revenue - water</t>
  </si>
  <si>
    <t>14/15 price base</t>
  </si>
  <si>
    <t>AllRev.Water</t>
  </si>
  <si>
    <t>Allowed revenue - wastewater</t>
  </si>
  <si>
    <t>AllRev.Waste</t>
  </si>
  <si>
    <t>K</t>
  </si>
  <si>
    <t>Nr</t>
  </si>
  <si>
    <t>K - water</t>
  </si>
  <si>
    <t>K.Water</t>
  </si>
  <si>
    <t>K - waste</t>
  </si>
  <si>
    <t>K.Waste</t>
  </si>
  <si>
    <t>Recovered revenue</t>
  </si>
  <si>
    <t>To be completed at the end of PR14&gt;&gt;</t>
  </si>
  <si>
    <t>Recovered revenue - water</t>
  </si>
  <si>
    <t>Outturn price base</t>
  </si>
  <si>
    <t>RecRev.Water</t>
  </si>
  <si>
    <t>Recovered revenue - wastewater</t>
  </si>
  <si>
    <t>RecRev.Waste</t>
  </si>
  <si>
    <t>Blind year adjustments</t>
  </si>
  <si>
    <t>RCM adjustment</t>
  </si>
  <si>
    <t>Blind year adjustment 14/15 - water</t>
  </si>
  <si>
    <t>12/13 price base</t>
  </si>
  <si>
    <t>BlindYear.1415.Adj.Water</t>
  </si>
  <si>
    <t>Blind year adjustment 14/15 - waste</t>
  </si>
  <si>
    <t>BlindYear.1415.Adj.Waste</t>
  </si>
  <si>
    <t>% 1dp</t>
  </si>
  <si>
    <t>Percentage of blind year adjustment by year - water</t>
  </si>
  <si>
    <t>All values must be &gt;=0; sum of values must be &lt;=1.</t>
  </si>
  <si>
    <t>Percentage of blind year adjustment by year - waste</t>
  </si>
  <si>
    <t>End</t>
  </si>
  <si>
    <t>Retail Price Index</t>
  </si>
  <si>
    <t>2011-12</t>
  </si>
  <si>
    <t>Actual Year</t>
  </si>
  <si>
    <t/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</si>
  <si>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</si>
  <si>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</si>
  <si>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</si>
  <si>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</si>
  <si>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</si>
  <si>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</si>
  <si>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</si>
  <si>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</si>
  <si>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</si>
  <si>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</si>
  <si>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</si>
  <si>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</si>
  <si>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</si>
  <si>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</si>
  <si>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% 4dp</t>
  </si>
  <si>
    <t>Completeness check</t>
  </si>
  <si>
    <t>Indexation.Check</t>
  </si>
  <si>
    <t>Series of actual and forecast RPI</t>
  </si>
  <si>
    <t>RPI: Financial year average - index</t>
  </si>
  <si>
    <t>%</t>
  </si>
  <si>
    <t>Override</t>
  </si>
  <si>
    <t>Calculated (including override)</t>
  </si>
  <si>
    <t>Actual RPI: Basket year - cumulative % increase from 2012/13 basket value</t>
  </si>
  <si>
    <t>Indexation.November.Actual.Override</t>
  </si>
  <si>
    <t>Indexation.November.Actual</t>
  </si>
  <si>
    <t>Actual RPI: Nov - Nov % increase</t>
  </si>
  <si>
    <t>Indexation.November.Actual.YearOnYear</t>
  </si>
  <si>
    <t>WRFIM calculations - water</t>
  </si>
  <si>
    <t>1 WRFIM calculation</t>
  </si>
  <si>
    <t>Calculate an adjusted allowed revenue using penalty and/or blind-year adjustment</t>
  </si>
  <si>
    <t>Allowed Revenue</t>
  </si>
  <si>
    <t>Actual Nov-Nov RPI</t>
  </si>
  <si>
    <t>1 + (RPI + Kt )/100</t>
  </si>
  <si>
    <t>Allowed Revenue (Outturn price base)</t>
  </si>
  <si>
    <t>AllRev.Outturn.Water</t>
  </si>
  <si>
    <t>Convert blind year to outturn price base and apply in 2016</t>
  </si>
  <si>
    <t>Blind year adjustment</t>
  </si>
  <si>
    <t>AMP5 RCM adjustment</t>
  </si>
  <si>
    <t>AMP5.RCM.Adj.Water</t>
  </si>
  <si>
    <t>AMP5 RCM adjustment including financing rate adjustment</t>
  </si>
  <si>
    <t>Percentage</t>
  </si>
  <si>
    <t>AMP5 RCM blind year adjustment (12/13 price base)</t>
  </si>
  <si>
    <t>AMP5 RCM blind year adjustment (Outturn price base)</t>
  </si>
  <si>
    <t>RCM.BlindYear.Adj.Water</t>
  </si>
  <si>
    <t>Adjust allowed revenue by RFIM adjustment</t>
  </si>
  <si>
    <t>Determine the main revenue over /  under recovery</t>
  </si>
  <si>
    <t>AMP6 forecasting incentive adjustment including over / under recovery true up</t>
  </si>
  <si>
    <t>AMP6.FI.Adj.Water</t>
  </si>
  <si>
    <t>Allowed Revenue from FD</t>
  </si>
  <si>
    <t>Adjusted Allowed Revenue (AR)</t>
  </si>
  <si>
    <t>Adj.AllRev.Water</t>
  </si>
  <si>
    <t>Baseline revenue for calculation of penalties (AR*)</t>
  </si>
  <si>
    <t>Baseline.AllRev.Water</t>
  </si>
  <si>
    <t>Revenue Recovered (RR)</t>
  </si>
  <si>
    <t>Over (+) / Under (-) recovery versus adjusted allowed revenue</t>
  </si>
  <si>
    <t>% (under) / over recovered versus adjusted allowed revenue</t>
  </si>
  <si>
    <t>Perc.Recovered.Water</t>
  </si>
  <si>
    <t>Main revenue adjustment</t>
  </si>
  <si>
    <t>Main revenue adjustment - with financing adjustment</t>
  </si>
  <si>
    <t>Main revenue adjustment - with financing adjustment &amp; 2 year lag of inflation</t>
  </si>
  <si>
    <t>Outturn price base plus 2 years</t>
  </si>
  <si>
    <t>Main revenue adjustment - as incurred</t>
  </si>
  <si>
    <t>Penalty calculation</t>
  </si>
  <si>
    <t>Forecast error</t>
  </si>
  <si>
    <t>Boolean</t>
  </si>
  <si>
    <t>Is a penalty  required?</t>
  </si>
  <si>
    <t>Penalty rate magnitude</t>
  </si>
  <si>
    <t>Penalty adjustment</t>
  </si>
  <si>
    <t>Penalty adjustment - with financing adjustment</t>
  </si>
  <si>
    <t>Penalty adjustment - with financing adjustment &amp; 2 year lag of inflation</t>
  </si>
  <si>
    <t>Penalty adjustment - as incurred</t>
  </si>
  <si>
    <t>WRFIM adjustment</t>
  </si>
  <si>
    <t>WRFIM adjustment - as incurred</t>
  </si>
  <si>
    <t>Performance is outside +/-6% variance level</t>
  </si>
  <si>
    <t>Is more detailed variance analyses required to be submitted?</t>
  </si>
  <si>
    <t>2 Application of penalty</t>
  </si>
  <si>
    <t>One year of RPI and financing costs adjustments to main revenue applied</t>
  </si>
  <si>
    <t>Value of Year 4 main revenue adjustment at the end of AMP6</t>
  </si>
  <si>
    <t>Value of Year 4 penalty adjustment at the end of AMP6</t>
  </si>
  <si>
    <t>Value of Year 4 WRFIM adjustments at the end of AMP6</t>
  </si>
  <si>
    <t>No RPI and financing costs adjustments applied</t>
  </si>
  <si>
    <t>Value of Year 5 main revenue adjustment at the end of AMP6</t>
  </si>
  <si>
    <t>Value of Year 5 penalty adjustment at the end of AMP6</t>
  </si>
  <si>
    <t>Value of Year 5 WRFIM adjustments at the end of AMP6</t>
  </si>
  <si>
    <t>Total reward / (penalty) at the end of AMP6</t>
  </si>
  <si>
    <t>WRFIM.Water</t>
  </si>
  <si>
    <t>WRFIM calculations - waste</t>
  </si>
  <si>
    <t>AllRev.Outturn.Waste</t>
  </si>
  <si>
    <t>AMP5.RCM.Adj.Waste</t>
  </si>
  <si>
    <t>RCM.BlindYear.Adj.Waste</t>
  </si>
  <si>
    <t>AMP6.FI.Adj.Waste</t>
  </si>
  <si>
    <t>Adj.AllRev.Waste</t>
  </si>
  <si>
    <t>Baseline.AllRev.Waste</t>
  </si>
  <si>
    <t>Perc.Recovered.Waste</t>
  </si>
  <si>
    <t>WRFIM.Waste</t>
  </si>
  <si>
    <t>WRFIM adjustments</t>
  </si>
  <si>
    <t>1 WRFIM adjustment at the end of AMP6</t>
  </si>
  <si>
    <t>Total reward / (penalty) - water</t>
  </si>
  <si>
    <t>Total reward / (penalty) - waste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</si>
  <si>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</si>
  <si>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</si>
  <si>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</si>
  <si>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</si>
  <si>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</si>
  <si>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</si>
  <si>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</si>
  <si>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</si>
  <si>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</si>
  <si>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</si>
  <si>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</si>
  <si>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</si>
  <si>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</si>
  <si>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</si>
  <si>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</si>
  <si>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</si>
  <si>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RPI: Assumed percentage increase for unpopulated monthly values</t>
  </si>
  <si>
    <t>Redundant code deleted</t>
  </si>
  <si>
    <t>Accelerated return of over-recovered revenue</t>
  </si>
  <si>
    <t xml:space="preserve">Over-recovered revenue returned to customers after one year </t>
  </si>
  <si>
    <t>Model modified to work for companies that accelerate the return of over-recovered revenue to customers after one year</t>
  </si>
  <si>
    <t>Data
WRFIM - Water
WRFIM - Waste</t>
  </si>
  <si>
    <t xml:space="preserve">Change calculation of 'Adjusted allowed revenue (AR)' to recognise the early return revenue in year t+1 and corresponding back out from year t+2 </t>
  </si>
  <si>
    <t>Data rows 47 to 54
WRFIM sheets rows 29 to 31 and 33</t>
  </si>
  <si>
    <t>Over-recovered 17/18 revenue returned - water</t>
  </si>
  <si>
    <t>Over-recovered 17/18 revenue returned - wastewater</t>
  </si>
  <si>
    <t>Over-recovered 18/19 revenue returned - water</t>
  </si>
  <si>
    <t>Over-recovered 18/19 revenue returned - wastewater</t>
  </si>
  <si>
    <t>Back out of over-recovered 17/18 revenue - water</t>
  </si>
  <si>
    <t>Back out of over-recovered 17/18 revenue - wastewater</t>
  </si>
  <si>
    <t>RCM adjustment remaining to be applied at PR19</t>
  </si>
  <si>
    <t>AMP5 RCM adjustment including additional year financing rate adjustment</t>
  </si>
  <si>
    <t>AMP5 RCM adjustment to be applied at PR19 (12/13 price base)</t>
  </si>
  <si>
    <t>AMP5 RCM adjustment to be applied at PR19 (Outturn price base)</t>
  </si>
  <si>
    <t>Percentage of blind year adjustment remaining to be applied at PR19 - water</t>
  </si>
  <si>
    <t>Percentage of blind year adjustment remaining to be applied at PR19 - waste</t>
  </si>
  <si>
    <t>Model assumes that the RCM adjustment will be profiled in full over 2017-18 to 2019-20. The model does not take account of the potential for the RCM adjustment to be deferred and applied at PR19.</t>
  </si>
  <si>
    <t>Added a check on the percentage of RCM blind year adjustment year by year applied in years 3 to 5. Where less than 100%, the remaining balance has a year's financing adjustment applied, is converted to outturn prices and included in the total reward / (penalty) at the end of AMP6.</t>
  </si>
  <si>
    <t>Rows 25-28
Row 82
Row 84</t>
  </si>
  <si>
    <t>Anglian Water Services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</si>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</sst>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.00%_);\(0.00%\);\-\%_)"/>
    <numFmt numFmtId="168" formatCode="#,##0.0_);\(#,##0.0\);\-_)"/>
    <numFmt numFmtId="169" formatCode="0.0%"/>
  </numFmts>
  <fonts count="86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0"/>
      <color rgb="FF0061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b/>
      <sz val="26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8"/>
      <name val="Arial MT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B050"/>
      <name val="Arial"/>
      <family val="2"/>
    </font>
    <font>
      <b/>
      <sz val="2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  <scheme val="minor"/>
    </font>
    <font>
      <b/>
      <sz val="26"/>
      <color theme="6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CC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42"/>
      </patternFill>
    </fill>
    <fill>
      <patternFill patternType="solid">
        <fgColor indexed="1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0" fontId="52" fillId="51" borderId="0" applyNumberFormat="0" applyBorder="0" applyAlignment="0" applyProtection="0"/>
    <xf numFmtId="0" fontId="52" fillId="34" borderId="0" applyNumberFormat="0" applyBorder="0" applyAlignment="0" applyProtection="0"/>
    <xf numFmtId="0" fontId="52" fillId="52" borderId="0" applyNumberFormat="0" applyBorder="0" applyAlignment="0" applyProtection="0"/>
    <xf numFmtId="0" fontId="52" fillId="51" borderId="0" applyNumberFormat="0" applyBorder="0" applyAlignment="0" applyProtection="0"/>
    <xf numFmtId="0" fontId="52" fillId="53" borderId="0" applyNumberFormat="0" applyBorder="0" applyAlignment="0" applyProtection="0"/>
    <xf numFmtId="0" fontId="52" fillId="34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33" borderId="0" applyNumberFormat="0" applyBorder="0" applyAlignment="0" applyProtection="0"/>
    <xf numFmtId="0" fontId="52" fillId="54" borderId="0" applyNumberFormat="0" applyBorder="0" applyAlignment="0" applyProtection="0"/>
    <xf numFmtId="0" fontId="52" fillId="56" borderId="0" applyNumberFormat="0" applyBorder="0" applyAlignment="0" applyProtection="0"/>
    <xf numFmtId="0" fontId="52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5" borderId="0" applyNumberFormat="0" applyBorder="0" applyAlignment="0" applyProtection="0"/>
    <xf numFmtId="0" fontId="53" fillId="33" borderId="0" applyNumberFormat="0" applyBorder="0" applyAlignment="0" applyProtection="0"/>
    <xf numFmtId="0" fontId="53" fillId="54" borderId="0" applyNumberFormat="0" applyBorder="0" applyAlignment="0" applyProtection="0"/>
    <xf numFmtId="0" fontId="53" fillId="57" borderId="0" applyNumberFormat="0" applyBorder="0" applyAlignment="0" applyProtection="0"/>
    <xf numFmtId="0" fontId="53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7" borderId="0" applyNumberFormat="0" applyBorder="0" applyAlignment="0" applyProtection="0"/>
    <xf numFmtId="0" fontId="53" fillId="61" borderId="0" applyNumberForma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4" fillId="62" borderId="0" applyNumberFormat="0" applyBorder="0" applyAlignment="0" applyProtection="0"/>
    <xf numFmtId="37" fontId="42" fillId="63" borderId="23">
      <alignment horizontal="left"/>
    </xf>
    <xf numFmtId="37" fontId="39" fillId="63" borderId="24"/>
    <xf numFmtId="0" fontId="15" fillId="63" borderId="22" applyNumberFormat="0" applyBorder="0"/>
    <xf numFmtId="0" fontId="15" fillId="63" borderId="22" applyNumberFormat="0" applyBorder="0"/>
    <xf numFmtId="0" fontId="15" fillId="63" borderId="22" applyNumberFormat="0" applyBorder="0"/>
    <xf numFmtId="0" fontId="55" fillId="51" borderId="25" applyNumberFormat="0" applyAlignment="0" applyProtection="0"/>
    <xf numFmtId="0" fontId="56" fillId="64" borderId="26" applyNumberFormat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2" fillId="65" borderId="0">
      <alignment vertical="top"/>
    </xf>
    <xf numFmtId="0" fontId="15" fillId="0" borderId="27">
      <alignment vertical="top"/>
    </xf>
    <xf numFmtId="0" fontId="15" fillId="50" borderId="19">
      <alignment vertical="top"/>
    </xf>
    <xf numFmtId="0" fontId="42" fillId="50" borderId="0">
      <alignment vertical="top"/>
    </xf>
    <xf numFmtId="0" fontId="15" fillId="66" borderId="0">
      <alignment vertical="top"/>
    </xf>
    <xf numFmtId="0" fontId="59" fillId="67" borderId="0" applyNumberFormat="0" applyBorder="0" applyAlignment="0" applyProtection="0"/>
    <xf numFmtId="0" fontId="60" fillId="63" borderId="28"/>
    <xf numFmtId="37" fontId="15" fillId="63" borderId="0">
      <alignment horizontal="right"/>
    </xf>
    <xf numFmtId="37" fontId="15" fillId="63" borderId="0">
      <alignment horizontal="right"/>
    </xf>
    <xf numFmtId="37" fontId="15" fillId="63" borderId="0">
      <alignment horizontal="right"/>
    </xf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34" borderId="25" applyNumberFormat="0" applyAlignment="0" applyProtection="0"/>
    <xf numFmtId="0" fontId="67" fillId="0" borderId="32" applyNumberFormat="0" applyFill="0" applyAlignment="0" applyProtection="0"/>
    <xf numFmtId="0" fontId="68" fillId="33" borderId="0" applyNumberFormat="0" applyBorder="0" applyAlignment="0" applyProtection="0"/>
    <xf numFmtId="0" fontId="6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7" fillId="0" borderId="0"/>
    <xf numFmtId="0" fontId="70" fillId="51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73" fillId="0" borderId="0" applyNumberFormat="0" applyFill="0" applyBorder="0" applyAlignment="0" applyProtection="0"/>
    <xf numFmtId="37" fontId="74" fillId="68" borderId="35"/>
    <xf numFmtId="0" fontId="75" fillId="0" borderId="36">
      <alignment horizontal="right"/>
    </xf>
    <xf numFmtId="0" fontId="15" fillId="0" borderId="0"/>
    <xf numFmtId="0" fontId="4" fillId="0" borderId="0"/>
    <xf numFmtId="0" fontId="15" fillId="50" borderId="37"/>
    <xf numFmtId="0" fontId="15" fillId="66" borderId="0"/>
    <xf numFmtId="0" fontId="15" fillId="66" borderId="0"/>
    <xf numFmtId="0" fontId="51" fillId="0" borderId="0"/>
    <xf numFmtId="0" fontId="22" fillId="41" borderId="37" applyNumberFormat="0" applyAlignment="0" applyProtection="0"/>
    <xf numFmtId="9" fontId="4" fillId="0" borderId="0" applyFont="0" applyFill="0" applyBorder="0" applyAlignment="0" applyProtection="0"/>
  </cellStyleXfs>
  <cellXfs count="177">
    <xf numFmtId="0" fontId="0" fillId="0" borderId="0" xfId="0"/>
    <xf numFmtId="0" fontId="38" fillId="44" borderId="17" xfId="0" applyFont="1" applyFill="1" applyBorder="1" applyAlignment="1" applyProtection="1">
      <alignment horizontal="left" vertical="center"/>
    </xf>
    <xf numFmtId="0" fontId="12" fillId="0" borderId="0" xfId="45" applyFont="1"/>
    <xf numFmtId="0" fontId="34" fillId="0" borderId="0" xfId="0" applyFont="1"/>
    <xf numFmtId="1" fontId="39" fillId="0" borderId="17" xfId="0" applyNumberFormat="1" applyFont="1" applyFill="1" applyBorder="1" applyAlignment="1" applyProtection="1">
      <alignment horizontal="center"/>
    </xf>
    <xf numFmtId="1" fontId="40" fillId="43" borderId="17" xfId="0" applyNumberFormat="1" applyFont="1" applyFill="1" applyBorder="1" applyAlignment="1" applyProtection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/>
    <xf numFmtId="49" fontId="43" fillId="45" borderId="17" xfId="0" applyNumberFormat="1" applyFont="1" applyFill="1" applyBorder="1" applyAlignment="1">
      <alignment horizontal="right" vertical="center"/>
    </xf>
    <xf numFmtId="0" fontId="41" fillId="0" borderId="0" xfId="0" applyFont="1"/>
    <xf numFmtId="0" fontId="34" fillId="0" borderId="0" xfId="0" applyFont="1"/>
    <xf numFmtId="0" fontId="41" fillId="48" borderId="20" xfId="0" applyFont="1" applyFill="1" applyBorder="1"/>
    <xf numFmtId="0" fontId="41" fillId="48" borderId="21" xfId="0" applyFont="1" applyFill="1" applyBorder="1"/>
    <xf numFmtId="0" fontId="45" fillId="0" borderId="0" xfId="0" applyFont="1"/>
    <xf numFmtId="0" fontId="41" fillId="0" borderId="0" xfId="0" applyFont="1" applyAlignment="1">
      <alignment horizontal="center"/>
    </xf>
    <xf numFmtId="0" fontId="48" fillId="44" borderId="18" xfId="7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4" fillId="0" borderId="0" xfId="0" applyFont="1" applyBorder="1"/>
    <xf numFmtId="0" fontId="76" fillId="0" borderId="0" xfId="0" applyFont="1"/>
    <xf numFmtId="0" fontId="4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left" indent="2"/>
    </xf>
    <xf numFmtId="0" fontId="0" fillId="0" borderId="0" xfId="0" applyFont="1"/>
    <xf numFmtId="164" fontId="0" fillId="36" borderId="14" xfId="50" applyNumberFormat="1" applyFont="1"/>
    <xf numFmtId="0" fontId="43" fillId="45" borderId="17" xfId="0" applyFont="1" applyFill="1" applyBorder="1" applyAlignment="1">
      <alignment horizontal="left" vertical="center"/>
    </xf>
    <xf numFmtId="0" fontId="48" fillId="44" borderId="17" xfId="72" applyFont="1" applyFill="1" applyBorder="1" applyAlignment="1">
      <alignment horizontal="left" vertical="center"/>
    </xf>
    <xf numFmtId="166" fontId="43" fillId="45" borderId="17" xfId="0" applyNumberFormat="1" applyFont="1" applyFill="1" applyBorder="1" applyAlignment="1">
      <alignment horizontal="left" vertical="center"/>
    </xf>
    <xf numFmtId="0" fontId="76" fillId="0" borderId="0" xfId="0" applyFont="1" applyFill="1"/>
    <xf numFmtId="166" fontId="2" fillId="0" borderId="0" xfId="0" applyNumberFormat="1" applyFont="1" applyFill="1" applyBorder="1"/>
    <xf numFmtId="166" fontId="2" fillId="0" borderId="0" xfId="0" applyNumberFormat="1" applyFont="1"/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8" fillId="0" borderId="0" xfId="72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0" xfId="45" applyFont="1" applyFill="1" applyBorder="1"/>
    <xf numFmtId="0" fontId="77" fillId="44" borderId="17" xfId="0" applyFont="1" applyFill="1" applyBorder="1" applyAlignment="1" applyProtection="1">
      <alignment horizontal="left" vertical="center"/>
    </xf>
    <xf numFmtId="0" fontId="78" fillId="0" borderId="0" xfId="0" applyFont="1"/>
    <xf numFmtId="0" fontId="80" fillId="48" borderId="21" xfId="0" applyFont="1" applyFill="1" applyBorder="1"/>
    <xf numFmtId="0" fontId="81" fillId="0" borderId="0" xfId="0" applyFont="1"/>
    <xf numFmtId="0" fontId="0" fillId="0" borderId="0" xfId="0" applyNumberFormat="1"/>
    <xf numFmtId="0" fontId="15" fillId="0" borderId="0" xfId="159" applyFont="1"/>
    <xf numFmtId="0" fontId="50" fillId="0" borderId="0" xfId="159" applyFont="1"/>
    <xf numFmtId="0" fontId="50" fillId="49" borderId="21" xfId="159" applyFont="1" applyFill="1" applyBorder="1"/>
    <xf numFmtId="0" fontId="15" fillId="49" borderId="21" xfId="159" applyFont="1" applyFill="1" applyBorder="1"/>
    <xf numFmtId="0" fontId="15" fillId="49" borderId="21" xfId="159" applyFont="1" applyFill="1" applyBorder="1" applyAlignment="1"/>
    <xf numFmtId="0" fontId="42" fillId="49" borderId="21" xfId="159" applyFont="1" applyFill="1" applyBorder="1"/>
    <xf numFmtId="0" fontId="15" fillId="0" borderId="0" xfId="159" applyFont="1" applyFill="1" applyBorder="1" applyAlignment="1" applyProtection="1">
      <alignment vertical="center"/>
    </xf>
    <xf numFmtId="0" fontId="50" fillId="0" borderId="0" xfId="159" applyFont="1" applyFill="1" applyBorder="1" applyAlignment="1" applyProtection="1">
      <alignment vertical="center"/>
    </xf>
    <xf numFmtId="167" fontId="15" fillId="0" borderId="0" xfId="159" applyNumberFormat="1" applyFont="1" applyFill="1" applyBorder="1" applyAlignment="1" applyProtection="1">
      <alignment horizontal="right" vertical="center"/>
    </xf>
    <xf numFmtId="10" fontId="15" fillId="0" borderId="0" xfId="152" applyNumberFormat="1" applyFont="1" applyFill="1" applyAlignment="1" applyProtection="1">
      <alignment vertical="center"/>
    </xf>
    <xf numFmtId="0" fontId="15" fillId="0" borderId="0" xfId="159" applyFont="1" applyFill="1" applyAlignment="1" applyProtection="1">
      <alignment vertical="center"/>
    </xf>
    <xf numFmtId="0" fontId="15" fillId="0" borderId="0" xfId="159" applyFont="1" applyFill="1" applyBorder="1" applyAlignment="1" applyProtection="1">
      <alignment horizontal="left" vertical="center" indent="1"/>
    </xf>
    <xf numFmtId="167" fontId="15" fillId="0" borderId="0" xfId="159" applyNumberFormat="1" applyFont="1" applyFill="1" applyBorder="1" applyAlignment="1" applyProtection="1">
      <alignment horizontal="left" vertical="center"/>
    </xf>
    <xf numFmtId="167" fontId="15" fillId="47" borderId="37" xfId="159" applyNumberFormat="1" applyFont="1" applyFill="1" applyBorder="1" applyAlignment="1" applyProtection="1">
      <alignment horizontal="right" vertical="center"/>
      <protection locked="0"/>
    </xf>
    <xf numFmtId="0" fontId="15" fillId="0" borderId="0" xfId="160" applyFont="1" applyFill="1" applyBorder="1" applyAlignment="1" applyProtection="1">
      <alignment horizontal="left" vertical="center" indent="1"/>
    </xf>
    <xf numFmtId="1" fontId="42" fillId="0" borderId="0" xfId="152" applyNumberFormat="1" applyFont="1" applyFill="1" applyAlignment="1" applyProtection="1">
      <alignment vertical="center"/>
    </xf>
    <xf numFmtId="0" fontId="42" fillId="0" borderId="0" xfId="160" applyFont="1" applyFill="1" applyBorder="1" applyAlignment="1" applyProtection="1">
      <alignment vertical="center"/>
    </xf>
    <xf numFmtId="168" fontId="15" fillId="0" borderId="38" xfId="159" applyNumberFormat="1" applyFont="1" applyFill="1" applyBorder="1" applyAlignment="1">
      <alignment horizontal="right" vertical="center"/>
    </xf>
    <xf numFmtId="166" fontId="15" fillId="0" borderId="38" xfId="159" applyNumberFormat="1" applyFont="1" applyFill="1" applyBorder="1" applyAlignment="1">
      <alignment horizontal="right" vertical="center"/>
    </xf>
    <xf numFmtId="0" fontId="15" fillId="0" borderId="0" xfId="159" applyFont="1" applyFill="1" applyAlignment="1">
      <alignment horizontal="left" vertical="center" indent="1"/>
    </xf>
    <xf numFmtId="0" fontId="15" fillId="0" borderId="0" xfId="159" applyFont="1" applyFill="1" applyAlignment="1">
      <alignment shrinkToFit="1"/>
    </xf>
    <xf numFmtId="0" fontId="15" fillId="0" borderId="0" xfId="159" applyFont="1" applyFill="1" applyBorder="1" applyAlignment="1">
      <alignment horizontal="left" vertical="center"/>
    </xf>
    <xf numFmtId="168" fontId="15" fillId="0" borderId="0" xfId="159" applyNumberFormat="1" applyFont="1" applyAlignment="1">
      <alignment horizontal="right"/>
    </xf>
    <xf numFmtId="164" fontId="15" fillId="46" borderId="37" xfId="159" applyNumberFormat="1" applyFont="1" applyFill="1" applyBorder="1" applyAlignment="1">
      <alignment horizontal="right" vertical="center"/>
    </xf>
    <xf numFmtId="165" fontId="15" fillId="69" borderId="37" xfId="159" applyNumberFormat="1" applyFont="1" applyFill="1" applyBorder="1" applyAlignment="1">
      <alignment horizontal="right"/>
    </xf>
    <xf numFmtId="0" fontId="15" fillId="0" borderId="0" xfId="159" applyFont="1" applyFill="1" applyAlignment="1" applyProtection="1">
      <alignment horizontal="right" vertical="center"/>
    </xf>
    <xf numFmtId="0" fontId="42" fillId="0" borderId="0" xfId="159" applyFont="1" applyFill="1" applyBorder="1" applyAlignment="1" applyProtection="1">
      <alignment horizontal="left" vertical="center"/>
    </xf>
    <xf numFmtId="0" fontId="15" fillId="0" borderId="0" xfId="159" applyFont="1" applyFill="1" applyBorder="1" applyAlignment="1" applyProtection="1">
      <alignment horizontal="left" vertical="center"/>
    </xf>
    <xf numFmtId="10" fontId="15" fillId="0" borderId="0" xfId="152" applyNumberFormat="1" applyFont="1" applyFill="1" applyBorder="1" applyAlignment="1" applyProtection="1">
      <alignment vertical="center"/>
    </xf>
    <xf numFmtId="10" fontId="50" fillId="0" borderId="0" xfId="152" applyNumberFormat="1" applyFont="1" applyFill="1" applyBorder="1" applyAlignment="1" applyProtection="1">
      <alignment vertical="center"/>
    </xf>
    <xf numFmtId="167" fontId="15" fillId="0" borderId="0" xfId="152" applyNumberFormat="1" applyFont="1" applyFill="1" applyBorder="1" applyAlignment="1" applyProtection="1">
      <alignment horizontal="center"/>
    </xf>
    <xf numFmtId="10" fontId="15" fillId="0" borderId="0" xfId="152" applyNumberFormat="1" applyFont="1" applyFill="1" applyBorder="1" applyAlignment="1" applyProtection="1">
      <alignment horizontal="left" vertical="center"/>
    </xf>
    <xf numFmtId="167" fontId="15" fillId="0" borderId="0" xfId="152" applyNumberFormat="1" applyFont="1" applyFill="1" applyBorder="1" applyProtection="1"/>
    <xf numFmtId="167" fontId="15" fillId="47" borderId="37" xfId="152" applyNumberFormat="1" applyFont="1" applyFill="1" applyBorder="1" applyProtection="1"/>
    <xf numFmtId="168" fontId="15" fillId="47" borderId="37" xfId="159" applyNumberFormat="1" applyFont="1" applyFill="1" applyBorder="1" applyAlignment="1" applyProtection="1">
      <alignment horizontal="right" vertical="center"/>
    </xf>
    <xf numFmtId="0" fontId="43" fillId="45" borderId="17" xfId="160" applyFont="1" applyFill="1" applyBorder="1" applyAlignment="1">
      <alignment horizontal="left" vertical="center"/>
    </xf>
    <xf numFmtId="0" fontId="44" fillId="45" borderId="17" xfId="160" applyFont="1" applyFill="1" applyBorder="1" applyAlignment="1">
      <alignment horizontal="left" vertical="center"/>
    </xf>
    <xf numFmtId="49" fontId="43" fillId="45" borderId="17" xfId="160" applyNumberFormat="1" applyFont="1" applyFill="1" applyBorder="1" applyAlignment="1">
      <alignment horizontal="right" vertical="center"/>
    </xf>
    <xf numFmtId="49" fontId="43" fillId="45" borderId="39" xfId="160" applyNumberFormat="1" applyFont="1" applyFill="1" applyBorder="1" applyAlignment="1">
      <alignment horizontal="right" vertical="center"/>
    </xf>
    <xf numFmtId="164" fontId="15" fillId="46" borderId="37" xfId="160" applyNumberFormat="1" applyFont="1" applyFill="1" applyBorder="1" applyAlignment="1">
      <alignment horizontal="right" vertical="center"/>
    </xf>
    <xf numFmtId="0" fontId="2" fillId="0" borderId="0" xfId="160" applyFont="1"/>
    <xf numFmtId="1" fontId="15" fillId="0" borderId="0" xfId="152" applyNumberFormat="1" applyFont="1" applyFill="1" applyBorder="1" applyAlignment="1" applyProtection="1">
      <alignment vertical="center"/>
    </xf>
    <xf numFmtId="1" fontId="50" fillId="0" borderId="0" xfId="152" applyNumberFormat="1" applyFont="1" applyFill="1" applyBorder="1" applyAlignment="1" applyProtection="1">
      <alignment vertical="center"/>
    </xf>
    <xf numFmtId="0" fontId="41" fillId="0" borderId="0" xfId="160" applyFont="1" applyAlignment="1">
      <alignment horizontal="center"/>
    </xf>
    <xf numFmtId="1" fontId="15" fillId="0" borderId="0" xfId="152" applyNumberFormat="1" applyFont="1" applyFill="1" applyAlignment="1" applyProtection="1">
      <alignment vertical="center"/>
    </xf>
    <xf numFmtId="1" fontId="15" fillId="0" borderId="0" xfId="152" applyNumberFormat="1" applyFont="1" applyFill="1" applyBorder="1" applyAlignment="1" applyProtection="1">
      <alignment horizontal="left" vertical="center"/>
    </xf>
    <xf numFmtId="1" fontId="15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right" vertical="center"/>
      <protection hidden="1"/>
    </xf>
    <xf numFmtId="0" fontId="42" fillId="0" borderId="0" xfId="159" applyFont="1" applyFill="1" applyAlignment="1">
      <alignment horizontal="left" vertical="center"/>
    </xf>
    <xf numFmtId="1" fontId="42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left" vertical="center"/>
      <protection hidden="1"/>
    </xf>
    <xf numFmtId="1" fontId="39" fillId="0" borderId="17" xfId="160" applyNumberFormat="1" applyFont="1" applyFill="1" applyBorder="1" applyAlignment="1" applyProtection="1">
      <alignment horizontal="center"/>
    </xf>
    <xf numFmtId="1" fontId="40" fillId="43" borderId="17" xfId="160" applyNumberFormat="1" applyFont="1" applyFill="1" applyBorder="1" applyAlignment="1" applyProtection="1">
      <alignment horizontal="center"/>
    </xf>
    <xf numFmtId="1" fontId="44" fillId="0" borderId="0" xfId="159" applyNumberFormat="1" applyFont="1" applyFill="1" applyBorder="1" applyAlignment="1" applyProtection="1">
      <alignment horizontal="left" vertical="center"/>
    </xf>
    <xf numFmtId="0" fontId="15" fillId="0" borderId="0" xfId="159" applyNumberFormat="1" applyFont="1" applyFill="1" applyBorder="1" applyAlignment="1">
      <alignment vertical="center"/>
    </xf>
    <xf numFmtId="0" fontId="15" fillId="0" borderId="0" xfId="159" applyNumberFormat="1" applyFont="1" applyFill="1" applyBorder="1" applyAlignment="1">
      <alignment horizontal="center" vertical="center" shrinkToFit="1"/>
    </xf>
    <xf numFmtId="0" fontId="15" fillId="0" borderId="0" xfId="159" applyNumberFormat="1" applyFont="1" applyFill="1" applyBorder="1" applyAlignment="1">
      <alignment vertical="center" shrinkToFit="1"/>
    </xf>
    <xf numFmtId="0" fontId="15" fillId="0" borderId="0" xfId="159" applyFont="1" applyFill="1" applyBorder="1"/>
    <xf numFmtId="0" fontId="15" fillId="0" borderId="0" xfId="159" applyFont="1" applyFill="1"/>
    <xf numFmtId="0" fontId="15" fillId="0" borderId="0" xfId="159" applyFont="1" applyFill="1" applyBorder="1" applyAlignment="1">
      <alignment horizontal="right" vertical="center"/>
    </xf>
    <xf numFmtId="0" fontId="15" fillId="0" borderId="0" xfId="159" applyFont="1" applyFill="1" applyBorder="1" applyAlignment="1">
      <alignment horizontal="left" vertical="center" shrinkToFit="1"/>
    </xf>
    <xf numFmtId="1" fontId="49" fillId="44" borderId="17" xfId="159" applyNumberFormat="1" applyFont="1" applyFill="1" applyBorder="1" applyAlignment="1">
      <alignment horizontal="left" vertical="center"/>
    </xf>
    <xf numFmtId="0" fontId="18" fillId="44" borderId="0" xfId="159" applyNumberFormat="1" applyFont="1" applyFill="1" applyBorder="1" applyAlignment="1">
      <alignment vertical="center"/>
    </xf>
    <xf numFmtId="0" fontId="46" fillId="44" borderId="17" xfId="159" applyFont="1" applyFill="1" applyBorder="1" applyAlignment="1">
      <alignment horizontal="right" vertical="center"/>
    </xf>
    <xf numFmtId="0" fontId="46" fillId="44" borderId="0" xfId="159" applyFont="1" applyFill="1" applyBorder="1" applyAlignment="1">
      <alignment horizontal="right" vertical="center"/>
    </xf>
    <xf numFmtId="0" fontId="48" fillId="44" borderId="17" xfId="159" applyFont="1" applyFill="1" applyBorder="1" applyAlignment="1">
      <alignment horizontal="left" vertical="center"/>
    </xf>
    <xf numFmtId="49" fontId="47" fillId="44" borderId="17" xfId="159" applyNumberFormat="1" applyFont="1" applyFill="1" applyBorder="1" applyAlignment="1"/>
    <xf numFmtId="0" fontId="46" fillId="44" borderId="17" xfId="159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4" fontId="0" fillId="70" borderId="14" xfId="50" applyNumberFormat="1" applyFont="1" applyFill="1"/>
    <xf numFmtId="0" fontId="2" fillId="0" borderId="40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83" fillId="0" borderId="4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50" borderId="0" xfId="0" applyFill="1"/>
    <xf numFmtId="166" fontId="2" fillId="0" borderId="0" xfId="0" applyNumberFormat="1" applyFont="1" applyFill="1"/>
    <xf numFmtId="0" fontId="2" fillId="33" borderId="14" xfId="46" applyNumberFormat="1" applyFont="1"/>
    <xf numFmtId="168" fontId="15" fillId="0" borderId="0" xfId="159" applyNumberFormat="1" applyFont="1" applyFill="1" applyAlignment="1">
      <alignment horizontal="right"/>
    </xf>
    <xf numFmtId="0" fontId="84" fillId="0" borderId="0" xfId="0" applyFont="1"/>
    <xf numFmtId="0" fontId="82" fillId="44" borderId="17" xfId="72" applyFont="1" applyFill="1" applyBorder="1" applyAlignment="1">
      <alignment horizontal="left" vertical="center"/>
    </xf>
    <xf numFmtId="164" fontId="15" fillId="46" borderId="37" xfId="0" applyNumberFormat="1" applyFont="1" applyFill="1" applyBorder="1" applyAlignment="1">
      <alignment horizontal="right" vertical="center"/>
    </xf>
    <xf numFmtId="49" fontId="43" fillId="45" borderId="39" xfId="0" applyNumberFormat="1" applyFont="1" applyFill="1" applyBorder="1" applyAlignment="1">
      <alignment horizontal="right" vertical="center"/>
    </xf>
    <xf numFmtId="0" fontId="44" fillId="45" borderId="17" xfId="0" applyFont="1" applyFill="1" applyBorder="1" applyAlignment="1">
      <alignment horizontal="left" vertical="center"/>
    </xf>
    <xf numFmtId="0" fontId="79" fillId="45" borderId="17" xfId="0" applyFont="1" applyFill="1" applyBorder="1" applyAlignment="1">
      <alignment horizontal="left" vertical="center"/>
    </xf>
    <xf numFmtId="167" fontId="2" fillId="47" borderId="14" xfId="46" applyNumberFormat="1" applyFont="1" applyFill="1"/>
    <xf numFmtId="0" fontId="43" fillId="45" borderId="17" xfId="0" applyFont="1" applyFill="1" applyBorder="1" applyAlignment="1">
      <alignment horizontal="center" vertical="center"/>
    </xf>
    <xf numFmtId="9" fontId="2" fillId="0" borderId="0" xfId="166" applyFont="1"/>
    <xf numFmtId="0" fontId="2" fillId="0" borderId="0" xfId="0" applyFont="1" applyFill="1"/>
    <xf numFmtId="166" fontId="2" fillId="0" borderId="0" xfId="0" applyNumberFormat="1" applyFont="1" applyBorder="1"/>
    <xf numFmtId="167" fontId="2" fillId="0" borderId="0" xfId="0" applyNumberFormat="1" applyFont="1" applyFill="1"/>
    <xf numFmtId="0" fontId="2" fillId="0" borderId="0" xfId="0" applyFont="1" applyBorder="1"/>
    <xf numFmtId="0" fontId="2" fillId="0" borderId="37" xfId="0" applyFont="1" applyFill="1" applyBorder="1"/>
    <xf numFmtId="0" fontId="2" fillId="0" borderId="37" xfId="0" applyNumberFormat="1" applyFont="1" applyFill="1" applyBorder="1"/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78" fillId="0" borderId="0" xfId="0" applyFont="1" applyFill="1"/>
    <xf numFmtId="0" fontId="15" fillId="0" borderId="0" xfId="0" applyFont="1"/>
    <xf numFmtId="0" fontId="29" fillId="0" borderId="0" xfId="0" applyFont="1"/>
    <xf numFmtId="169" fontId="2" fillId="0" borderId="0" xfId="166" applyNumberFormat="1" applyFont="1" applyFill="1" applyBorder="1"/>
    <xf numFmtId="0" fontId="0" fillId="0" borderId="0" xfId="0" applyFont="1" applyFill="1"/>
    <xf numFmtId="0" fontId="0" fillId="0" borderId="0" xfId="0" applyFill="1"/>
    <xf numFmtId="0" fontId="2" fillId="0" borderId="39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 wrapText="1"/>
    </xf>
    <xf numFmtId="10" fontId="15" fillId="0" borderId="0" xfId="152" applyNumberFormat="1" applyFont="1" applyFill="1" applyAlignment="1" applyProtection="1">
      <alignment vertical="center" wrapText="1"/>
    </xf>
    <xf numFmtId="167" fontId="15" fillId="0" borderId="0" xfId="159" applyNumberFormat="1" applyFont="1" applyFill="1" applyBorder="1" applyAlignment="1" applyProtection="1">
      <alignment horizontal="right" vertical="center"/>
      <protection locked="0"/>
    </xf>
    <xf numFmtId="10" fontId="15" fillId="0" borderId="0" xfId="159" applyNumberFormat="1" applyFont="1" applyFill="1" applyAlignment="1">
      <alignment shrinkToFit="1"/>
    </xf>
    <xf numFmtId="10" fontId="15" fillId="0" borderId="0" xfId="159" applyNumberFormat="1" applyFont="1" applyFill="1" applyAlignment="1">
      <alignment horizontal="left" vertical="center"/>
    </xf>
    <xf numFmtId="0" fontId="50" fillId="0" borderId="0" xfId="159" applyFont="1" applyFill="1"/>
    <xf numFmtId="0" fontId="41" fillId="0" borderId="0" xfId="0" applyFont="1" applyFill="1" applyAlignment="1">
      <alignment horizontal="left" indent="1"/>
    </xf>
    <xf numFmtId="166" fontId="2" fillId="71" borderId="0" xfId="0" applyNumberFormat="1" applyFont="1" applyFill="1"/>
    <xf numFmtId="166" fontId="2" fillId="71" borderId="0" xfId="0" applyNumberFormat="1" applyFont="1" applyFill="1" applyBorder="1"/>
    <xf numFmtId="0" fontId="2" fillId="71" borderId="44" xfId="0" applyFont="1" applyFill="1" applyBorder="1" applyAlignment="1">
      <alignment horizontal="left" vertical="top"/>
    </xf>
    <xf numFmtId="0" fontId="2" fillId="71" borderId="44" xfId="0" applyFont="1" applyFill="1" applyBorder="1" applyAlignment="1">
      <alignment horizontal="left" vertical="top" wrapText="1"/>
    </xf>
    <xf numFmtId="0" fontId="2" fillId="72" borderId="40" xfId="0" applyFont="1" applyFill="1" applyBorder="1" applyAlignment="1">
      <alignment horizontal="left" vertical="top"/>
    </xf>
    <xf numFmtId="0" fontId="2" fillId="72" borderId="40" xfId="0" applyFont="1" applyFill="1" applyBorder="1" applyAlignment="1">
      <alignment horizontal="left" vertical="top" wrapText="1"/>
    </xf>
    <xf numFmtId="0" fontId="2" fillId="72" borderId="0" xfId="0" applyFont="1" applyFill="1" applyAlignment="1">
      <alignment horizontal="left" indent="1"/>
    </xf>
    <xf numFmtId="166" fontId="2" fillId="72" borderId="0" xfId="0" applyNumberFormat="1" applyFont="1" applyFill="1" applyBorder="1"/>
    <xf numFmtId="169" fontId="2" fillId="72" borderId="0" xfId="166" applyNumberFormat="1" applyFont="1" applyFill="1" applyBorder="1"/>
    <xf numFmtId="17" fontId="2" fillId="0" borderId="0" xfId="0" applyNumberFormat="1" applyFont="1"/>
    <xf numFmtId="165" fontId="85" fillId="33" borderId="14" xfId="46" applyNumberFormat="1" applyFont="1"/>
    <xf numFmtId="166" fontId="85" fillId="47" borderId="14" xfId="46" applyNumberFormat="1" applyFont="1" applyFill="1"/>
    <xf numFmtId="166" fontId="85" fillId="33" borderId="14" xfId="46" applyNumberFormat="1" applyFont="1"/>
    <xf numFmtId="169" fontId="85" fillId="33" borderId="14" xfId="166" applyNumberFormat="1" applyFont="1" applyFill="1" applyBorder="1"/>
    <xf numFmtId="168" fontId="15" fillId="73" borderId="37" xfId="159" applyNumberFormat="1" applyFont="1" applyFill="1" applyBorder="1" applyAlignment="1" applyProtection="1">
      <alignment horizontal="right" vertical="center"/>
    </xf>
  </cellXfs>
  <cellStyles count="167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4"/>
    <cellStyle name="20% - Accent1" xfId="17" builtinId="30" customBuiltin="1"/>
    <cellStyle name="20% - Accent1 2" xfId="85"/>
    <cellStyle name="20% - Accent2" xfId="21" builtinId="34" customBuiltin="1"/>
    <cellStyle name="20% - Accent2 2" xfId="86"/>
    <cellStyle name="20% - Accent3" xfId="25" builtinId="38" customBuiltin="1"/>
    <cellStyle name="20% - Accent3 2" xfId="87"/>
    <cellStyle name="20% - Accent4" xfId="29" builtinId="42" customBuiltin="1"/>
    <cellStyle name="20% - Accent4 2" xfId="88"/>
    <cellStyle name="20% - Accent5" xfId="33" builtinId="46" customBuiltin="1"/>
    <cellStyle name="20% - Accent5 2" xfId="89"/>
    <cellStyle name="20% - Accent6" xfId="37" builtinId="50" customBuiltin="1"/>
    <cellStyle name="20% - Accent6 2" xfId="90"/>
    <cellStyle name="40% - Accent1" xfId="18" builtinId="31" customBuiltin="1"/>
    <cellStyle name="40% - Accent1 2" xfId="91"/>
    <cellStyle name="40% - Accent2" xfId="22" builtinId="35" customBuiltin="1"/>
    <cellStyle name="40% - Accent2 2" xfId="92"/>
    <cellStyle name="40% - Accent3" xfId="26" builtinId="39" customBuiltin="1"/>
    <cellStyle name="40% - Accent3 2" xfId="93"/>
    <cellStyle name="40% - Accent4" xfId="30" builtinId="43" customBuiltin="1"/>
    <cellStyle name="40% - Accent4 2" xfId="94"/>
    <cellStyle name="40% - Accent5" xfId="34" builtinId="47" customBuiltin="1"/>
    <cellStyle name="40% - Accent5 2" xfId="95"/>
    <cellStyle name="40% - Accent6" xfId="38" builtinId="51" customBuiltin="1"/>
    <cellStyle name="40% - Accent6 2" xfId="96"/>
    <cellStyle name="60% - Accent1" xfId="19" builtinId="32" customBuiltin="1"/>
    <cellStyle name="60% - Accent1 2" xfId="97"/>
    <cellStyle name="60% - Accent2" xfId="23" builtinId="36" customBuiltin="1"/>
    <cellStyle name="60% - Accent2 2" xfId="98"/>
    <cellStyle name="60% - Accent3" xfId="27" builtinId="40" customBuiltin="1"/>
    <cellStyle name="60% - Accent3 2" xfId="99"/>
    <cellStyle name="60% - Accent4" xfId="31" builtinId="44" customBuiltin="1"/>
    <cellStyle name="60% - Accent4 2" xfId="100"/>
    <cellStyle name="60% - Accent5" xfId="35" builtinId="48" customBuiltin="1"/>
    <cellStyle name="60% - Accent5 2" xfId="101"/>
    <cellStyle name="60% - Accent6" xfId="39" builtinId="52" customBuiltin="1"/>
    <cellStyle name="60% - Accent6 2" xfId="102"/>
    <cellStyle name="Accent1" xfId="16" builtinId="29" customBuiltin="1"/>
    <cellStyle name="Accent1 2" xfId="103"/>
    <cellStyle name="Accent2" xfId="20" builtinId="33" customBuiltin="1"/>
    <cellStyle name="Accent2 2" xfId="104"/>
    <cellStyle name="Accent3" xfId="24" builtinId="37" customBuiltin="1"/>
    <cellStyle name="Accent3 2" xfId="105"/>
    <cellStyle name="Accent4" xfId="28" builtinId="41" customBuiltin="1"/>
    <cellStyle name="Accent4 2" xfId="106"/>
    <cellStyle name="Accent5" xfId="32" builtinId="45" customBuiltin="1"/>
    <cellStyle name="Accent5 2" xfId="107"/>
    <cellStyle name="Accent6" xfId="36" builtinId="49" customBuiltin="1"/>
    <cellStyle name="Accent6 2" xfId="108"/>
    <cellStyle name="Att1" xfId="109"/>
    <cellStyle name="Att1 2" xfId="110"/>
    <cellStyle name="Att1 3" xfId="111"/>
    <cellStyle name="Bad" xfId="6" builtinId="27" customBuiltin="1"/>
    <cellStyle name="Bad 2" xfId="112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113"/>
    <cellStyle name="boldbluetxt_green" xfId="114"/>
    <cellStyle name="box" xfId="115"/>
    <cellStyle name="box 2" xfId="116"/>
    <cellStyle name="box 3" xfId="117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alculation 2" xfId="118"/>
    <cellStyle name="Check Cell" xfId="12" builtinId="23" customBuiltin="1"/>
    <cellStyle name="Check Cell 2" xfId="119"/>
    <cellStyle name="Comma 2" xfId="75"/>
    <cellStyle name="Comma 3" xfId="76"/>
    <cellStyle name="Comma 3 2" xfId="120"/>
    <cellStyle name="Comma 3 2 2" xfId="121"/>
    <cellStyle name="Comma 3 3" xfId="122"/>
    <cellStyle name="Comma 4" xfId="123"/>
    <cellStyle name="Comma 5" xfId="77"/>
    <cellStyle name="Comma 6" xfId="124"/>
    <cellStyle name="Comma 7" xfId="125"/>
    <cellStyle name="Error" xfId="61"/>
    <cellStyle name="Explanatory Text" xfId="14" builtinId="53" customBuiltin="1"/>
    <cellStyle name="Explanatory Text 2" xfId="126"/>
    <cellStyle name="False" xfId="62"/>
    <cellStyle name="Fountain Col Header" xfId="127"/>
    <cellStyle name="Fountain Error" xfId="128"/>
    <cellStyle name="Fountain Input" xfId="129"/>
    <cellStyle name="Fountain Input 2" xfId="161"/>
    <cellStyle name="Fountain Table Header" xfId="130"/>
    <cellStyle name="Fountain Text" xfId="131"/>
    <cellStyle name="Fountain Text 2" xfId="162"/>
    <cellStyle name="Fountain Text 4" xfId="163"/>
    <cellStyle name="Good" xfId="5" builtinId="26" customBuiltin="1"/>
    <cellStyle name="Good 2" xfId="132"/>
    <cellStyle name="Header" xfId="133"/>
    <cellStyle name="Header3rdlevel" xfId="134"/>
    <cellStyle name="Header3rdlevel 2" xfId="135"/>
    <cellStyle name="Header3rdlevel 3" xfId="136"/>
    <cellStyle name="Heading 1" xfId="1" builtinId="16" customBuiltin="1"/>
    <cellStyle name="Heading 1 2" xfId="137"/>
    <cellStyle name="Heading 2" xfId="2" builtinId="17" customBuiltin="1"/>
    <cellStyle name="Heading 2 2" xfId="138"/>
    <cellStyle name="Heading 3" xfId="3" builtinId="18" customBuiltin="1"/>
    <cellStyle name="Heading 3 2" xfId="139"/>
    <cellStyle name="Heading 4" xfId="4" builtinId="19" customBuiltin="1"/>
    <cellStyle name="Heading 4 2" xfId="140"/>
    <cellStyle name="Hyperlink 2" xfId="141"/>
    <cellStyle name="Hyperlink 3" xfId="142"/>
    <cellStyle name="In Development" xfId="63"/>
    <cellStyle name="Input" xfId="8" builtinId="20" customBuiltin="1"/>
    <cellStyle name="Input 2" xfId="143"/>
    <cellStyle name="Linked Cell" xfId="11" builtinId="24" customBuiltin="1"/>
    <cellStyle name="Linked Cell 2" xfId="144"/>
    <cellStyle name="Neutral" xfId="7" builtinId="28" customBuiltin="1"/>
    <cellStyle name="Neutral 2" xfId="145"/>
    <cellStyle name="NJS" xfId="146"/>
    <cellStyle name="No Error" xfId="64"/>
    <cellStyle name="Normal" xfId="0" builtinId="0" customBuiltin="1"/>
    <cellStyle name="Normal 2" xfId="65"/>
    <cellStyle name="Normal 2 2" xfId="66"/>
    <cellStyle name="Normal 2 3" xfId="164"/>
    <cellStyle name="Normal 3" xfId="67"/>
    <cellStyle name="Normal 3 2" xfId="147"/>
    <cellStyle name="Normal 4" xfId="72"/>
    <cellStyle name="Normal 4 2" xfId="78"/>
    <cellStyle name="Normal 4 2 2" xfId="159"/>
    <cellStyle name="Normal 5" xfId="79"/>
    <cellStyle name="Normal 5 2" xfId="148"/>
    <cellStyle name="Normal 6" xfId="80"/>
    <cellStyle name="Normal 7" xfId="149"/>
    <cellStyle name="Normal 8" xfId="150"/>
    <cellStyle name="Normal 9" xfId="160"/>
    <cellStyle name="Note 2" xfId="68"/>
    <cellStyle name="Output" xfId="9" builtinId="21" customBuiltin="1"/>
    <cellStyle name="Output 2" xfId="151"/>
    <cellStyle name="Percent" xfId="166" builtinId="5"/>
    <cellStyle name="Percent 2" xfId="73"/>
    <cellStyle name="Percent 2 2" xfId="152"/>
    <cellStyle name="Percent 3" xfId="81"/>
    <cellStyle name="Percent 4" xfId="83"/>
    <cellStyle name="Percent 4 2" xfId="82"/>
    <cellStyle name="Percent 5" xfId="153"/>
    <cellStyle name="Style 1" xfId="69"/>
    <cellStyle name="Title 2" xfId="154"/>
    <cellStyle name="Total" xfId="15" builtinId="25" customBuiltin="1"/>
    <cellStyle name="Total 2" xfId="155"/>
    <cellStyle name="True" xfId="70"/>
    <cellStyle name="True 2" xfId="165"/>
    <cellStyle name="Unique Formula" xfId="71"/>
    <cellStyle name="Warning Text" xfId="13" builtinId="11" customBuiltin="1"/>
    <cellStyle name="Warning Text 2" xfId="156"/>
    <cellStyle name="white_text_on_blue" xfId="157"/>
    <cellStyle name="year_formats_pink" xfId="158"/>
  </cellStyles>
  <dxfs count="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XFC39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0" defaultRowHeight="12.75"/>
  <cols>
    <col min="1" max="2" width="9.140625" customWidth="1"/>
    <col min="3" max="4" width="50.7109375" style="111" customWidth="1"/>
    <col min="5" max="5" width="15.85546875" style="111" customWidth="1"/>
    <col min="6" max="6" width="14.7109375" style="111" customWidth="1"/>
    <col min="7" max="7" width="0" hidden="1" customWidth="1"/>
    <col min="8" max="16383" width="9.140625" hidden="1"/>
    <col min="16384" max="16384" width="9" hidden="1" customWidth="1"/>
  </cols>
  <sheetData>
    <row r="1" spans="1:6" s="15" customFormat="1" ht="33.75">
      <c r="A1" s="28" t="s">
        <v>0</v>
      </c>
      <c r="B1" s="28"/>
      <c r="C1" s="28"/>
      <c r="D1" s="28"/>
      <c r="E1" s="28"/>
      <c r="F1" s="28"/>
    </row>
    <row r="2" spans="1:6">
      <c r="A2" s="16"/>
      <c r="B2" s="16"/>
      <c r="C2" s="122"/>
      <c r="D2" s="122"/>
      <c r="E2" s="122"/>
      <c r="F2" s="122"/>
    </row>
    <row r="3" spans="1:6" ht="15.75">
      <c r="A3" s="16"/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</row>
    <row r="4" spans="1:6">
      <c r="A4" s="16"/>
      <c r="B4" s="16"/>
      <c r="C4" s="122"/>
      <c r="D4" s="122"/>
      <c r="E4" s="122"/>
      <c r="F4" s="122"/>
    </row>
    <row r="5" spans="1:6" ht="129.75" customHeight="1">
      <c r="A5" s="16"/>
      <c r="B5" s="115">
        <v>1</v>
      </c>
      <c r="C5" s="116" t="s">
        <v>6</v>
      </c>
      <c r="D5" s="116" t="s">
        <v>7</v>
      </c>
      <c r="E5" s="116" t="s">
        <v>8</v>
      </c>
      <c r="F5" s="117" t="s">
        <v>9</v>
      </c>
    </row>
    <row r="6" spans="1:6" ht="124.5" customHeight="1">
      <c r="A6" s="16"/>
      <c r="B6" s="118">
        <v>2</v>
      </c>
      <c r="C6" s="113" t="s">
        <v>10</v>
      </c>
      <c r="D6" s="113" t="s">
        <v>11</v>
      </c>
      <c r="E6" s="113" t="s">
        <v>8</v>
      </c>
      <c r="F6" s="119" t="s">
        <v>12</v>
      </c>
    </row>
    <row r="7" spans="1:6" ht="72.75" customHeight="1">
      <c r="A7" s="16"/>
      <c r="B7" s="118">
        <v>3</v>
      </c>
      <c r="C7" s="113" t="s">
        <v>13</v>
      </c>
      <c r="D7" s="113" t="s">
        <v>14</v>
      </c>
      <c r="E7" s="113" t="s">
        <v>8</v>
      </c>
      <c r="F7" s="120" t="s">
        <v>15</v>
      </c>
    </row>
    <row r="8" spans="1:6" ht="108.75" customHeight="1">
      <c r="A8" s="16"/>
      <c r="B8" s="118">
        <v>4</v>
      </c>
      <c r="C8" s="114" t="s">
        <v>16</v>
      </c>
      <c r="D8" s="113" t="s">
        <v>17</v>
      </c>
      <c r="E8" s="113" t="s">
        <v>8</v>
      </c>
      <c r="F8" s="120" t="s">
        <v>15</v>
      </c>
    </row>
    <row r="9" spans="1:6" ht="38.25">
      <c r="A9" s="16"/>
      <c r="B9" s="151">
        <v>5</v>
      </c>
      <c r="C9" s="152" t="s">
        <v>18</v>
      </c>
      <c r="D9" s="153" t="s">
        <v>19</v>
      </c>
      <c r="E9" s="153" t="s">
        <v>20</v>
      </c>
      <c r="F9" s="154" t="s">
        <v>21</v>
      </c>
    </row>
    <row r="10" spans="1:6" ht="25.5">
      <c r="A10" s="16"/>
      <c r="B10" s="151">
        <v>6</v>
      </c>
      <c r="C10" s="152" t="s">
        <v>22</v>
      </c>
      <c r="D10" s="153" t="s">
        <v>23</v>
      </c>
      <c r="E10" s="153" t="s">
        <v>24</v>
      </c>
      <c r="F10" s="155" t="s">
        <v>25</v>
      </c>
    </row>
    <row r="11" spans="1:6" s="123" customFormat="1" ht="25.5">
      <c r="A11" s="16"/>
      <c r="B11" s="151">
        <v>7</v>
      </c>
      <c r="C11" s="153" t="s">
        <v>26</v>
      </c>
      <c r="D11" s="153" t="s">
        <v>27</v>
      </c>
      <c r="E11" s="152" t="s">
        <v>28</v>
      </c>
      <c r="F11" s="153" t="s">
        <v>29</v>
      </c>
    </row>
    <row r="12" spans="1:6" s="150" customFormat="1" ht="63.75">
      <c r="A12" s="16"/>
      <c r="B12" s="153">
        <v>8</v>
      </c>
      <c r="C12" s="152" t="s">
        <v>30</v>
      </c>
      <c r="D12" s="152" t="s">
        <v>31</v>
      </c>
      <c r="E12" s="152" t="s">
        <v>32</v>
      </c>
      <c r="F12" s="152" t="s">
        <v>33</v>
      </c>
    </row>
    <row r="13" spans="1:6" s="150" customFormat="1" ht="25.5">
      <c r="A13" s="16"/>
      <c r="B13" s="153">
        <v>9</v>
      </c>
      <c r="C13" s="152" t="s">
        <v>34</v>
      </c>
      <c r="D13" s="152" t="s">
        <v>35</v>
      </c>
      <c r="E13" s="152" t="s">
        <v>28</v>
      </c>
      <c r="F13" s="152" t="s">
        <v>36</v>
      </c>
    </row>
    <row r="14" spans="1:6" s="150" customFormat="1" ht="38.25">
      <c r="A14" s="16"/>
      <c r="B14" s="153">
        <v>10</v>
      </c>
      <c r="C14" s="152" t="s">
        <v>37</v>
      </c>
      <c r="D14" s="152" t="s">
        <v>38</v>
      </c>
      <c r="E14" s="152" t="s">
        <v>28</v>
      </c>
      <c r="F14" s="152" t="s">
        <v>39</v>
      </c>
    </row>
    <row r="15" spans="1:6" s="150" customFormat="1" ht="38.25">
      <c r="A15" s="171"/>
      <c r="B15" s="153">
        <v>11</v>
      </c>
      <c r="C15" s="152" t="s">
        <v>40</v>
      </c>
      <c r="D15" s="152" t="s">
        <v>41</v>
      </c>
      <c r="E15" s="152" t="s">
        <v>42</v>
      </c>
      <c r="F15" s="152" t="s">
        <v>43</v>
      </c>
    </row>
    <row r="16" spans="1:6" s="150" customFormat="1">
      <c r="A16" s="171">
        <v>43070</v>
      </c>
      <c r="B16" s="164">
        <v>12</v>
      </c>
      <c r="C16" s="165" t="s">
        <v>44</v>
      </c>
      <c r="D16" s="165" t="s">
        <v>45</v>
      </c>
      <c r="E16" s="164" t="s">
        <v>46</v>
      </c>
      <c r="F16" s="164" t="s">
        <v>47</v>
      </c>
    </row>
    <row r="17" spans="1:6" s="150" customFormat="1">
      <c r="A17" s="171">
        <v>43070</v>
      </c>
      <c r="B17" s="164">
        <v>13</v>
      </c>
      <c r="C17" s="165" t="s">
        <v>48</v>
      </c>
      <c r="D17" s="165" t="s">
        <v>49</v>
      </c>
      <c r="E17" s="164" t="s">
        <v>46</v>
      </c>
      <c r="F17" s="164" t="s">
        <v>50</v>
      </c>
    </row>
    <row r="18" spans="1:6" s="150" customFormat="1" ht="25.5">
      <c r="A18" s="171">
        <v>43070</v>
      </c>
      <c r="B18" s="164">
        <v>14</v>
      </c>
      <c r="C18" s="165" t="s">
        <v>51</v>
      </c>
      <c r="D18" s="165" t="s">
        <v>232</v>
      </c>
      <c r="E18" s="164" t="s">
        <v>46</v>
      </c>
      <c r="F18" s="165" t="s">
        <v>52</v>
      </c>
    </row>
    <row r="19" spans="1:6" s="150" customFormat="1" ht="38.25">
      <c r="A19" s="171">
        <v>43070</v>
      </c>
      <c r="B19" s="164">
        <v>15</v>
      </c>
      <c r="C19" s="165" t="s">
        <v>53</v>
      </c>
      <c r="D19" s="165" t="s">
        <v>54</v>
      </c>
      <c r="E19" s="164" t="s">
        <v>24</v>
      </c>
      <c r="F19" s="165" t="s">
        <v>55</v>
      </c>
    </row>
    <row r="20" spans="1:6" ht="77.099999999999994" customHeight="1">
      <c r="A20" s="171">
        <v>43070</v>
      </c>
      <c r="B20" s="164">
        <v>16</v>
      </c>
      <c r="C20" s="165" t="s">
        <v>235</v>
      </c>
      <c r="D20" s="165" t="s">
        <v>237</v>
      </c>
      <c r="E20" s="165" t="s">
        <v>236</v>
      </c>
      <c r="F20" s="165" t="s">
        <v>238</v>
      </c>
    </row>
    <row r="21" spans="1:6" ht="76.5">
      <c r="A21" s="171">
        <v>43252</v>
      </c>
      <c r="B21" s="166">
        <v>17</v>
      </c>
      <c r="C21" s="167" t="s">
        <v>251</v>
      </c>
      <c r="D21" s="167" t="s">
        <v>252</v>
      </c>
      <c r="E21" s="167" t="s">
        <v>28</v>
      </c>
      <c r="F21" s="167" t="s">
        <v>253</v>
      </c>
    </row>
    <row r="22" spans="1:6">
      <c r="A22" s="16"/>
      <c r="B22" s="16"/>
      <c r="C22" s="122"/>
      <c r="D22" s="122"/>
      <c r="E22" s="122"/>
      <c r="F22" s="122"/>
    </row>
    <row r="23" spans="1:6">
      <c r="A23" s="16"/>
      <c r="B23" s="16"/>
      <c r="C23" s="122"/>
      <c r="D23" s="122"/>
      <c r="E23" s="122"/>
      <c r="F23" s="122"/>
    </row>
    <row r="24" spans="1:6">
      <c r="A24" s="16"/>
      <c r="B24" s="16"/>
      <c r="C24" s="122"/>
      <c r="D24" s="122"/>
      <c r="E24" s="122"/>
      <c r="F24" s="122"/>
    </row>
    <row r="25" spans="1:6">
      <c r="A25" s="16"/>
      <c r="B25" s="16"/>
      <c r="C25" s="122"/>
      <c r="D25" s="122"/>
      <c r="E25" s="122"/>
      <c r="F25" s="122"/>
    </row>
    <row r="26" spans="1:6">
      <c r="A26" s="16"/>
      <c r="B26" s="16"/>
      <c r="C26" s="122"/>
      <c r="D26" s="122"/>
      <c r="E26" s="122"/>
      <c r="F26" s="122"/>
    </row>
    <row r="27" spans="1:6">
      <c r="A27" s="16"/>
      <c r="B27" s="16"/>
      <c r="C27" s="122"/>
      <c r="D27" s="122"/>
      <c r="E27" s="122"/>
      <c r="F27" s="122"/>
    </row>
    <row r="28" spans="1:6">
      <c r="A28" s="16"/>
      <c r="B28" s="16"/>
      <c r="C28" s="122"/>
      <c r="D28" s="122"/>
      <c r="E28" s="122"/>
      <c r="F28" s="122"/>
    </row>
    <row r="29" spans="1:6">
      <c r="A29" s="16"/>
      <c r="B29" s="16"/>
      <c r="C29" s="122"/>
      <c r="D29" s="122"/>
      <c r="E29" s="122"/>
      <c r="F29" s="122"/>
    </row>
    <row r="30" spans="1:6">
      <c r="A30" s="16"/>
      <c r="B30" s="16"/>
      <c r="C30" s="122"/>
      <c r="D30" s="122"/>
      <c r="E30" s="122"/>
      <c r="F30" s="122"/>
    </row>
    <row r="31" spans="1:6">
      <c r="A31" s="16"/>
      <c r="B31" s="16"/>
      <c r="C31" s="122"/>
      <c r="D31" s="122"/>
      <c r="E31" s="122"/>
      <c r="F31" s="122"/>
    </row>
    <row r="32" spans="1:6">
      <c r="A32" s="16"/>
      <c r="B32" s="16"/>
      <c r="C32" s="122"/>
      <c r="D32" s="122"/>
      <c r="E32" s="122"/>
      <c r="F32" s="122"/>
    </row>
    <row r="33" spans="1:6">
      <c r="A33" s="16"/>
      <c r="B33" s="16"/>
      <c r="C33" s="122"/>
      <c r="D33" s="122"/>
      <c r="E33" s="122"/>
      <c r="F33" s="122"/>
    </row>
    <row r="34" spans="1:6">
      <c r="A34" s="16"/>
      <c r="B34" s="16"/>
      <c r="C34" s="122"/>
      <c r="D34" s="122"/>
      <c r="E34" s="122"/>
      <c r="F34" s="122"/>
    </row>
    <row r="35" spans="1:6">
      <c r="A35" s="16"/>
      <c r="B35" s="16"/>
      <c r="C35" s="122"/>
      <c r="D35" s="122"/>
      <c r="E35" s="122"/>
      <c r="F35" s="122"/>
    </row>
    <row r="36" spans="1:6">
      <c r="A36" s="16"/>
      <c r="B36" s="16"/>
      <c r="C36" s="122"/>
      <c r="D36" s="122"/>
      <c r="E36" s="122"/>
      <c r="F36" s="122"/>
    </row>
    <row r="37" spans="1:6">
      <c r="A37" s="16"/>
      <c r="B37" s="16"/>
      <c r="C37" s="122"/>
      <c r="D37" s="122"/>
      <c r="E37" s="122"/>
      <c r="F37" s="122"/>
    </row>
    <row r="38" spans="1:6">
      <c r="A38" s="16"/>
      <c r="B38" s="16"/>
      <c r="C38" s="122"/>
      <c r="D38" s="122"/>
      <c r="E38" s="122"/>
      <c r="F38" s="122"/>
    </row>
    <row r="39" spans="1:6">
      <c r="A39" s="16"/>
      <c r="B39" s="16"/>
      <c r="C39" s="122"/>
      <c r="D39" s="122"/>
      <c r="E39" s="122"/>
      <c r="F39" s="122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6" customWidth="1"/>
    <col min="3" max="3" width="8" style="36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5"/>
    </row>
    <row r="2" spans="1:24" ht="15">
      <c r="A2" s="37"/>
      <c r="B2" s="37"/>
      <c r="C2" s="37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7"/>
      <c r="B3" s="37"/>
      <c r="C3" s="37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7"/>
      <c r="B4" s="37"/>
      <c r="C4" s="37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7"/>
      <c r="B5" s="37"/>
      <c r="C5" s="37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7"/>
      <c r="B6" s="37"/>
      <c r="C6" s="37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7"/>
      <c r="B7" s="37"/>
      <c r="C7" s="37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7"/>
      <c r="B8" s="37"/>
      <c r="C8" s="37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7"/>
      <c r="B9" s="37"/>
      <c r="C9" s="37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7"/>
      <c r="B10" s="37"/>
      <c r="C10" s="37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7"/>
      <c r="B11" s="37"/>
      <c r="C11" s="37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7"/>
      <c r="B12" s="37"/>
      <c r="C12" s="37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7"/>
      <c r="B13" s="37"/>
      <c r="C13" s="37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7"/>
      <c r="B14" s="37"/>
      <c r="C14" s="37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7"/>
      <c r="B15" s="37"/>
      <c r="C15" s="37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18.28515625" style="3" customWidth="1"/>
    <col min="6" max="8" width="2.7109375" style="3" customWidth="1"/>
    <col min="9" max="15" width="10" style="3" customWidth="1"/>
    <col min="16" max="17" width="10.42578125" style="3" customWidth="1"/>
    <col min="18" max="18" width="10.42578125" style="10" customWidth="1"/>
    <col min="19" max="19" width="10.85546875" style="10" customWidth="1"/>
    <col min="20" max="21" width="10.85546875" style="3" customWidth="1"/>
    <col min="22" max="22" width="15.85546875" style="3" customWidth="1"/>
    <col min="23" max="24" width="0" style="3" hidden="1" customWidth="1"/>
    <col min="25" max="16384" width="9.140625" style="3" hidden="1"/>
  </cols>
  <sheetData>
    <row r="1" spans="1:22" ht="33.75">
      <c r="A1" s="1"/>
      <c r="B1" s="1"/>
      <c r="C1" s="1"/>
      <c r="D1" s="28" t="s">
        <v>215</v>
      </c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>
      <c r="A2" s="2"/>
      <c r="B2" s="2"/>
      <c r="C2" s="2"/>
      <c r="D2" s="2"/>
      <c r="E2" s="2"/>
      <c r="F2" s="16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</row>
    <row r="3" spans="1:22">
      <c r="A3" s="16"/>
      <c r="B3" s="16"/>
      <c r="C3" s="16"/>
      <c r="D3" s="16"/>
      <c r="E3" s="16" t="s">
        <v>57</v>
      </c>
      <c r="F3" s="16"/>
      <c r="G3" s="16"/>
      <c r="H3" s="16"/>
      <c r="I3" s="4" t="s">
        <v>216</v>
      </c>
      <c r="J3" s="4" t="s">
        <v>217</v>
      </c>
      <c r="K3" s="4" t="s">
        <v>218</v>
      </c>
      <c r="L3" s="5" t="s">
        <v>219</v>
      </c>
      <c r="M3" s="5" t="s">
        <v>220</v>
      </c>
      <c r="N3" s="5" t="s">
        <v>221</v>
      </c>
      <c r="O3" s="5" t="s">
        <v>222</v>
      </c>
      <c r="P3" s="5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13" t="s">
        <v>229</v>
      </c>
    </row>
    <row r="4" spans="1:2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</row>
    <row r="5" spans="1:22">
      <c r="A5" s="16"/>
      <c r="B5" s="16"/>
      <c r="C5" s="16"/>
      <c r="D5" s="16"/>
      <c r="E5" s="16" t="s">
        <v>58</v>
      </c>
      <c r="F5" s="16"/>
      <c r="G5" s="16"/>
      <c r="H5" s="16"/>
      <c r="I5" s="142">
        <v>2012</v>
      </c>
      <c r="J5" s="142">
        <v>2013</v>
      </c>
      <c r="K5" s="142">
        <v>2014</v>
      </c>
      <c r="L5" s="142">
        <v>2015</v>
      </c>
      <c r="M5" s="142">
        <v>2016</v>
      </c>
      <c r="N5" s="142">
        <v>2017</v>
      </c>
      <c r="O5" s="142">
        <v>2018</v>
      </c>
      <c r="P5" s="142">
        <v>2019</v>
      </c>
      <c r="Q5" s="142">
        <v>2020</v>
      </c>
      <c r="R5" s="142">
        <v>2021</v>
      </c>
      <c r="S5" s="142">
        <v>2022</v>
      </c>
      <c r="T5" s="142">
        <v>2023</v>
      </c>
      <c r="U5" s="142">
        <v>2024</v>
      </c>
      <c r="V5" s="13" t="s">
        <v>230</v>
      </c>
    </row>
    <row r="6" spans="1:22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29">
        <v>1</v>
      </c>
      <c r="M6" s="129">
        <v>2</v>
      </c>
      <c r="N6" s="129">
        <v>3</v>
      </c>
      <c r="O6" s="129">
        <v>4</v>
      </c>
      <c r="P6" s="129">
        <v>5</v>
      </c>
      <c r="Q6" s="129">
        <v>6</v>
      </c>
      <c r="R6" s="129">
        <v>7</v>
      </c>
      <c r="S6" s="129">
        <v>8</v>
      </c>
      <c r="T6" s="129">
        <v>9</v>
      </c>
      <c r="U6" s="129">
        <v>10</v>
      </c>
      <c r="V6" s="16"/>
    </row>
    <row r="7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10" customForma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3.5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3.5" thickBot="1">
      <c r="A10" s="11" t="s">
        <v>111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6" customWidth="1"/>
    <col min="3" max="3" width="8" style="36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5"/>
    </row>
    <row r="2" spans="1:24" ht="15">
      <c r="A2" s="37"/>
      <c r="B2" s="37"/>
      <c r="C2" s="37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7"/>
      <c r="B3" s="37"/>
      <c r="C3" s="37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7"/>
      <c r="B4" s="37"/>
      <c r="C4" s="37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7"/>
      <c r="B5" s="37"/>
      <c r="C5" s="37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7"/>
      <c r="B6" s="37"/>
      <c r="C6" s="37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7"/>
      <c r="B7" s="37"/>
      <c r="C7" s="37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7"/>
      <c r="B8" s="37"/>
      <c r="C8" s="37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7"/>
      <c r="B9" s="37"/>
      <c r="C9" s="37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7"/>
      <c r="B10" s="37"/>
      <c r="C10" s="37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7"/>
      <c r="B11" s="37"/>
      <c r="C11" s="37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7"/>
      <c r="B12" s="37"/>
      <c r="C12" s="37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7"/>
      <c r="B13" s="37"/>
      <c r="C13" s="37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7"/>
      <c r="B14" s="37"/>
      <c r="C14" s="37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7"/>
      <c r="B15" s="37"/>
      <c r="C15" s="37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E76"/>
  <sheetViews>
    <sheetView showGridLines="0" zoomScale="80" zoomScaleNormal="80" workbookViewId="0">
      <pane xSplit="8" ySplit="7" topLeftCell="I20" activePane="bottomRight" state="frozen"/>
      <selection activeCell="A20" sqref="A20"/>
      <selection pane="topRight" activeCell="A20" sqref="A20"/>
      <selection pane="bottomLeft" activeCell="A20" sqref="A20"/>
      <selection pane="bottomRight" activeCell="O28" sqref="O28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52.140625" style="3" customWidth="1"/>
    <col min="6" max="6" width="17.7109375" style="39" customWidth="1"/>
    <col min="7" max="7" width="10.5703125" style="3" customWidth="1"/>
    <col min="8" max="8" width="10.42578125" style="3" customWidth="1"/>
    <col min="9" max="11" width="10.140625" style="3" customWidth="1"/>
    <col min="12" max="18" width="10.5703125" style="3" customWidth="1"/>
    <col min="19" max="20" width="10.5703125" style="10" customWidth="1"/>
    <col min="21" max="21" width="10.5703125" style="3" customWidth="1"/>
    <col min="22" max="22" width="16.5703125" style="3" customWidth="1"/>
    <col min="23" max="23" width="9.140625" style="3" customWidth="1"/>
    <col min="24" max="31" width="0" style="3" hidden="1" customWidth="1"/>
    <col min="32" max="16384" width="9.140625" style="3" hidden="1"/>
  </cols>
  <sheetData>
    <row r="1" spans="1:23" s="2" customFormat="1" ht="33.75">
      <c r="A1" s="28"/>
      <c r="B1" s="28"/>
      <c r="C1" s="28"/>
      <c r="D1" s="28" t="s">
        <v>56</v>
      </c>
      <c r="E1" s="28"/>
      <c r="F1" s="1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39"/>
      <c r="G2" s="16"/>
      <c r="O2" s="16"/>
      <c r="P2" s="16"/>
    </row>
    <row r="3" spans="1:23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>
      <c r="A4" s="129">
        <v>1</v>
      </c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>
      <c r="A5" s="16"/>
      <c r="B5" s="16"/>
      <c r="C5" s="16"/>
      <c r="D5" s="16"/>
      <c r="E5" s="16" t="s">
        <v>58</v>
      </c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14">
        <f t="shared" si="1"/>
        <v>2018</v>
      </c>
      <c r="P5" s="1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29">
        <v>1</v>
      </c>
      <c r="M6" s="129">
        <v>2</v>
      </c>
      <c r="N6" s="129">
        <v>3</v>
      </c>
      <c r="O6" s="129">
        <v>4</v>
      </c>
      <c r="P6" s="129">
        <v>5</v>
      </c>
      <c r="Q6" s="129">
        <v>6</v>
      </c>
      <c r="R6" s="129">
        <v>7</v>
      </c>
      <c r="S6" s="129">
        <v>8</v>
      </c>
      <c r="T6" s="129">
        <v>9</v>
      </c>
      <c r="U6" s="129">
        <v>10</v>
      </c>
      <c r="V6" s="16"/>
      <c r="W6" s="16"/>
    </row>
    <row r="7" spans="1:23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7" customFormat="1" ht="15">
      <c r="A8" s="130"/>
      <c r="B8" s="8"/>
      <c r="C8" s="8"/>
      <c r="D8" s="27"/>
      <c r="E8" s="131" t="s">
        <v>60</v>
      </c>
      <c r="F8" s="132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16"/>
      <c r="B10" s="16"/>
      <c r="C10" s="16"/>
      <c r="D10" s="17" t="s">
        <v>61</v>
      </c>
      <c r="E10" s="16" t="s">
        <v>62</v>
      </c>
      <c r="G10" s="125" t="s">
        <v>254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0" customFormat="1">
      <c r="A11" s="16"/>
      <c r="B11" s="16"/>
      <c r="C11" s="16"/>
      <c r="D11" s="142" t="s">
        <v>61</v>
      </c>
      <c r="E11" s="136" t="s">
        <v>63</v>
      </c>
      <c r="F11" s="145"/>
      <c r="G11" s="125" t="s">
        <v>255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16"/>
      <c r="B12" s="16"/>
      <c r="C12" s="16"/>
      <c r="D12" s="142" t="s">
        <v>64</v>
      </c>
      <c r="E12" s="136" t="s">
        <v>65</v>
      </c>
      <c r="F12" s="145"/>
      <c r="G12" s="125" t="b">
        <v>1</v>
      </c>
      <c r="H12" s="16" t="s">
        <v>64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7" customFormat="1" ht="15">
      <c r="A13" s="130"/>
      <c r="B13" s="8"/>
      <c r="C13" s="8"/>
      <c r="D13" s="27"/>
      <c r="E13" s="131" t="s">
        <v>66</v>
      </c>
      <c r="F13" s="132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s="10" customFormat="1">
      <c r="A14" s="16"/>
      <c r="B14" s="16"/>
      <c r="C14" s="16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0" customFormat="1">
      <c r="A15" s="16"/>
      <c r="B15" s="16"/>
      <c r="C15" s="16"/>
      <c r="D15" s="16"/>
      <c r="E15" s="9" t="s">
        <v>67</v>
      </c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0" customFormat="1">
      <c r="A16" s="16"/>
      <c r="B16" s="16"/>
      <c r="C16" s="16"/>
      <c r="D16" s="17" t="s">
        <v>68</v>
      </c>
      <c r="E16" s="18" t="s">
        <v>69</v>
      </c>
      <c r="F16" s="39"/>
      <c r="G16" s="133">
        <v>0.02</v>
      </c>
      <c r="H16" s="13" t="s">
        <v>70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0" customFormat="1">
      <c r="A17" s="16"/>
      <c r="B17" s="16"/>
      <c r="C17" s="16"/>
      <c r="D17" s="17" t="s">
        <v>68</v>
      </c>
      <c r="E17" s="18" t="s">
        <v>71</v>
      </c>
      <c r="F17" s="39"/>
      <c r="G17" s="133">
        <v>0.03</v>
      </c>
      <c r="H17" s="13" t="s">
        <v>72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0" customFormat="1">
      <c r="A18" s="16"/>
      <c r="B18" s="16"/>
      <c r="C18" s="16"/>
      <c r="D18" s="17"/>
      <c r="E18" s="16"/>
      <c r="F18" s="39"/>
      <c r="G18" s="16"/>
      <c r="H18" s="1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0" customFormat="1">
      <c r="A19" s="16"/>
      <c r="B19" s="16"/>
      <c r="C19" s="16"/>
      <c r="D19" s="17" t="s">
        <v>68</v>
      </c>
      <c r="E19" s="16" t="s">
        <v>73</v>
      </c>
      <c r="F19" s="39"/>
      <c r="G19" s="133">
        <v>0.03</v>
      </c>
      <c r="H19" s="13" t="s">
        <v>74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customFormat="1">
      <c r="D20" s="17" t="s">
        <v>68</v>
      </c>
      <c r="E20" s="16" t="s">
        <v>75</v>
      </c>
      <c r="F20" s="39"/>
      <c r="G20" s="133">
        <v>3.5999999999999997E-2</v>
      </c>
      <c r="H20" s="13" t="s">
        <v>76</v>
      </c>
      <c r="L20" s="42"/>
    </row>
    <row r="21" spans="1:23" customFormat="1">
      <c r="F21" s="41"/>
      <c r="H21" s="16"/>
    </row>
    <row r="22" spans="1:23" customFormat="1">
      <c r="D22" s="17" t="s">
        <v>68</v>
      </c>
      <c r="E22" s="16" t="s">
        <v>77</v>
      </c>
      <c r="F22" s="41"/>
      <c r="G22" s="133">
        <v>0.06</v>
      </c>
      <c r="H22" s="13" t="s">
        <v>78</v>
      </c>
    </row>
    <row r="23" spans="1:23" s="10" customFormat="1">
      <c r="A23" s="16"/>
      <c r="B23" s="16"/>
      <c r="C23" s="16"/>
      <c r="D23" s="17"/>
      <c r="E23" s="16"/>
      <c r="F23" s="3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7" customFormat="1" ht="15">
      <c r="A24" s="130"/>
      <c r="B24" s="8"/>
      <c r="C24" s="8"/>
      <c r="D24" s="134"/>
      <c r="E24" s="131" t="s">
        <v>79</v>
      </c>
      <c r="F24" s="1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customFormat="1">
      <c r="F25" s="41"/>
    </row>
    <row r="26" spans="1:23">
      <c r="A26" s="16"/>
      <c r="B26" s="16"/>
      <c r="C26" s="16"/>
      <c r="D26" s="17"/>
      <c r="E26" s="9" t="s">
        <v>80</v>
      </c>
      <c r="G26" s="16"/>
      <c r="H26" s="16"/>
      <c r="I26" s="16"/>
      <c r="J26" s="16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3"/>
      <c r="W26" s="16"/>
    </row>
    <row r="27" spans="1:23" s="16" customFormat="1">
      <c r="A27" s="146"/>
      <c r="B27" s="146"/>
      <c r="C27" s="146"/>
      <c r="D27" s="17" t="s">
        <v>81</v>
      </c>
      <c r="E27" s="18" t="s">
        <v>82</v>
      </c>
      <c r="F27" s="39" t="s">
        <v>83</v>
      </c>
      <c r="K27" s="173">
        <v>434.346</v>
      </c>
      <c r="L27" s="32"/>
      <c r="M27" s="32"/>
      <c r="N27" s="32"/>
      <c r="O27" s="32"/>
      <c r="P27" s="32"/>
      <c r="Q27" s="124"/>
      <c r="R27" s="124"/>
      <c r="S27" s="124"/>
      <c r="T27" s="124"/>
      <c r="U27" s="124"/>
      <c r="V27" s="13" t="s">
        <v>84</v>
      </c>
    </row>
    <row r="28" spans="1:23" s="16" customFormat="1">
      <c r="A28" s="146"/>
      <c r="B28" s="146"/>
      <c r="C28" s="146"/>
      <c r="D28" s="17" t="s">
        <v>81</v>
      </c>
      <c r="E28" s="18" t="s">
        <v>85</v>
      </c>
      <c r="F28" s="39" t="s">
        <v>83</v>
      </c>
      <c r="K28" s="173">
        <v>637.02099999999996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3" t="s">
        <v>86</v>
      </c>
    </row>
    <row r="29" spans="1:23" s="10" customFormat="1">
      <c r="A29" s="146"/>
      <c r="B29" s="146"/>
      <c r="C29" s="146"/>
      <c r="D29" s="17"/>
      <c r="E29" s="16"/>
      <c r="F29" s="39"/>
      <c r="G29" s="16"/>
      <c r="H29" s="16"/>
      <c r="I29" s="16"/>
      <c r="J29" s="16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3"/>
      <c r="W29" s="16"/>
    </row>
    <row r="30" spans="1:23" s="10" customFormat="1">
      <c r="A30" s="146"/>
      <c r="B30" s="146"/>
      <c r="C30" s="146"/>
      <c r="D30" s="17"/>
      <c r="E30" s="9" t="s">
        <v>87</v>
      </c>
      <c r="F30" s="39"/>
      <c r="G30" s="16"/>
      <c r="H30" s="16"/>
      <c r="I30" s="16"/>
      <c r="J30" s="16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3"/>
      <c r="W30" s="16"/>
    </row>
    <row r="31" spans="1:23" s="10" customFormat="1">
      <c r="A31" s="146"/>
      <c r="B31" s="146"/>
      <c r="C31" s="146"/>
      <c r="D31" s="17" t="s">
        <v>88</v>
      </c>
      <c r="E31" s="18" t="s">
        <v>89</v>
      </c>
      <c r="F31" s="39"/>
      <c r="G31" s="16"/>
      <c r="H31" s="16"/>
      <c r="I31" s="16"/>
      <c r="J31" s="16"/>
      <c r="K31" s="32"/>
      <c r="L31" s="172">
        <v>0</v>
      </c>
      <c r="M31" s="172">
        <v>1.34</v>
      </c>
      <c r="N31" s="172">
        <v>1.05</v>
      </c>
      <c r="O31" s="172">
        <v>1.1900000000000002</v>
      </c>
      <c r="P31" s="172">
        <v>1.1599999999999999</v>
      </c>
      <c r="Q31" s="32"/>
      <c r="R31" s="32"/>
      <c r="S31" s="32"/>
      <c r="T31" s="32"/>
      <c r="U31" s="32"/>
      <c r="V31" s="13" t="s">
        <v>90</v>
      </c>
      <c r="W31" s="16"/>
    </row>
    <row r="32" spans="1:23" s="10" customFormat="1">
      <c r="A32" s="146"/>
      <c r="B32" s="146"/>
      <c r="C32" s="146"/>
      <c r="D32" s="17" t="s">
        <v>88</v>
      </c>
      <c r="E32" s="18" t="s">
        <v>91</v>
      </c>
      <c r="F32" s="39"/>
      <c r="G32" s="16"/>
      <c r="H32" s="16"/>
      <c r="I32" s="16"/>
      <c r="J32" s="16"/>
      <c r="K32" s="32"/>
      <c r="L32" s="172">
        <v>0</v>
      </c>
      <c r="M32" s="172">
        <v>0.86</v>
      </c>
      <c r="N32" s="172">
        <v>0.72</v>
      </c>
      <c r="O32" s="172">
        <v>0.73</v>
      </c>
      <c r="P32" s="172">
        <v>0.12</v>
      </c>
      <c r="Q32" s="32"/>
      <c r="R32" s="32"/>
      <c r="S32" s="32"/>
      <c r="T32" s="32"/>
      <c r="U32" s="32"/>
      <c r="V32" s="13" t="s">
        <v>92</v>
      </c>
      <c r="W32" s="16"/>
    </row>
    <row r="33" spans="1:23" s="10" customFormat="1">
      <c r="A33" s="146"/>
      <c r="B33" s="146"/>
      <c r="C33" s="146"/>
      <c r="D33" s="17"/>
      <c r="E33" s="16"/>
      <c r="F33" s="39"/>
      <c r="G33" s="16"/>
      <c r="H33" s="16"/>
      <c r="I33" s="16"/>
      <c r="J33" s="16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3"/>
      <c r="W33" s="16"/>
    </row>
    <row r="34" spans="1:23" s="10" customFormat="1">
      <c r="A34" s="146"/>
      <c r="B34" s="146"/>
      <c r="C34" s="146"/>
      <c r="D34" s="17"/>
      <c r="E34" s="9" t="s">
        <v>93</v>
      </c>
      <c r="F34" s="39"/>
      <c r="G34" s="16"/>
      <c r="H34" s="16"/>
      <c r="I34" s="16"/>
      <c r="J34" s="16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3"/>
      <c r="W34" s="16"/>
    </row>
    <row r="35" spans="1:23" s="10" customFormat="1">
      <c r="A35" s="146"/>
      <c r="B35" s="146"/>
      <c r="C35" s="146"/>
      <c r="D35" s="17"/>
      <c r="E35" s="21" t="s">
        <v>94</v>
      </c>
      <c r="F35" s="39"/>
      <c r="G35" s="16"/>
      <c r="H35" s="16"/>
      <c r="I35" s="16"/>
      <c r="J35" s="16"/>
      <c r="K35" s="32"/>
      <c r="L35" s="16"/>
      <c r="M35" s="16"/>
      <c r="N35" s="16"/>
      <c r="O35" s="16"/>
      <c r="P35" s="16"/>
      <c r="Q35" s="32"/>
      <c r="R35" s="32"/>
      <c r="S35" s="32"/>
      <c r="T35" s="32"/>
      <c r="U35" s="32"/>
      <c r="V35" s="13"/>
      <c r="W35" s="16"/>
    </row>
    <row r="36" spans="1:23" s="10" customFormat="1">
      <c r="A36" s="146"/>
      <c r="B36" s="146"/>
      <c r="C36" s="146"/>
      <c r="D36" s="17" t="s">
        <v>81</v>
      </c>
      <c r="E36" s="24" t="s">
        <v>95</v>
      </c>
      <c r="F36" s="39" t="s">
        <v>96</v>
      </c>
      <c r="G36" s="16"/>
      <c r="H36" s="16"/>
      <c r="I36" s="16"/>
      <c r="J36" s="16"/>
      <c r="K36" s="32"/>
      <c r="L36" s="173">
        <v>444.62343740880692</v>
      </c>
      <c r="M36" s="174">
        <v>461.63057811751656</v>
      </c>
      <c r="N36" s="174">
        <v>476.64200000000005</v>
      </c>
      <c r="O36" s="174">
        <v>486.23700000000002</v>
      </c>
      <c r="P36" s="174">
        <v>506.87200000000001</v>
      </c>
      <c r="Q36" s="32"/>
      <c r="R36" s="32"/>
      <c r="S36" s="32"/>
      <c r="T36" s="32"/>
      <c r="U36" s="32"/>
      <c r="V36" s="13" t="s">
        <v>97</v>
      </c>
      <c r="W36" s="16"/>
    </row>
    <row r="37" spans="1:23" s="10" customFormat="1">
      <c r="A37" s="146"/>
      <c r="B37" s="146"/>
      <c r="C37" s="146"/>
      <c r="D37" s="17" t="s">
        <v>81</v>
      </c>
      <c r="E37" s="24" t="s">
        <v>98</v>
      </c>
      <c r="F37" s="39" t="s">
        <v>96</v>
      </c>
      <c r="G37" s="16"/>
      <c r="H37" s="16"/>
      <c r="I37" s="16"/>
      <c r="J37" s="16"/>
      <c r="K37" s="32"/>
      <c r="L37" s="174">
        <v>645.88018971435622</v>
      </c>
      <c r="M37" s="174">
        <v>661.18369731194866</v>
      </c>
      <c r="N37" s="174">
        <v>684.12699999999995</v>
      </c>
      <c r="O37" s="174">
        <v>714.39499999999998</v>
      </c>
      <c r="P37" s="174">
        <v>737.60699999999997</v>
      </c>
      <c r="Q37" s="32"/>
      <c r="R37" s="32"/>
      <c r="S37" s="32"/>
      <c r="T37" s="32"/>
      <c r="U37" s="32"/>
      <c r="V37" s="13" t="s">
        <v>99</v>
      </c>
      <c r="W37" s="16"/>
    </row>
    <row r="38" spans="1:23" s="10" customFormat="1">
      <c r="A38" s="146"/>
      <c r="B38" s="146"/>
      <c r="C38" s="146"/>
      <c r="D38" s="16"/>
      <c r="E38" s="16"/>
      <c r="F38" s="3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3"/>
      <c r="W38" s="16"/>
    </row>
    <row r="39" spans="1:23" s="7" customFormat="1" ht="15">
      <c r="A39" s="130"/>
      <c r="B39" s="8"/>
      <c r="C39" s="8"/>
      <c r="D39" s="134"/>
      <c r="E39" s="131" t="s">
        <v>100</v>
      </c>
      <c r="F39" s="132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customFormat="1">
      <c r="A40" s="147"/>
      <c r="B40" s="147"/>
      <c r="C40" s="147"/>
      <c r="F40" s="41"/>
    </row>
    <row r="41" spans="1:23" s="10" customFormat="1">
      <c r="A41" s="146"/>
      <c r="B41" s="146"/>
      <c r="C41" s="146"/>
      <c r="D41" s="17"/>
      <c r="E41" s="9" t="s">
        <v>101</v>
      </c>
      <c r="F41" s="39"/>
      <c r="G41" s="16"/>
      <c r="H41" s="16"/>
      <c r="I41" s="16"/>
      <c r="J41" s="16"/>
      <c r="K41" s="32"/>
      <c r="L41" s="32"/>
      <c r="M41" s="32"/>
      <c r="N41" s="32"/>
      <c r="O41" s="32"/>
      <c r="P41" s="32"/>
      <c r="Q41" s="127"/>
      <c r="R41" s="32"/>
      <c r="S41" s="32"/>
      <c r="T41" s="32"/>
      <c r="U41" s="32"/>
      <c r="V41" s="13"/>
      <c r="W41" s="16"/>
    </row>
    <row r="42" spans="1:23" s="16" customFormat="1">
      <c r="A42" s="146"/>
      <c r="B42" s="146"/>
      <c r="C42" s="146"/>
      <c r="D42" s="17" t="s">
        <v>81</v>
      </c>
      <c r="E42" s="18" t="s">
        <v>102</v>
      </c>
      <c r="F42" s="39" t="s">
        <v>103</v>
      </c>
      <c r="K42" s="173">
        <v>-0.77229218894321505</v>
      </c>
      <c r="L42" s="13" t="s">
        <v>104</v>
      </c>
      <c r="M42" s="13"/>
      <c r="N42" s="13"/>
      <c r="O42" s="13"/>
      <c r="P42" s="13"/>
      <c r="Q42" s="13"/>
      <c r="R42" s="32"/>
      <c r="S42" s="32"/>
      <c r="T42" s="32"/>
      <c r="U42" s="32"/>
      <c r="V42" s="13"/>
    </row>
    <row r="43" spans="1:23" s="16" customFormat="1">
      <c r="A43" s="146"/>
      <c r="B43" s="146"/>
      <c r="C43" s="146"/>
      <c r="D43" s="17" t="s">
        <v>81</v>
      </c>
      <c r="E43" s="18" t="s">
        <v>105</v>
      </c>
      <c r="F43" s="39" t="s">
        <v>103</v>
      </c>
      <c r="K43" s="174">
        <v>-3.3147656069530314</v>
      </c>
      <c r="L43" s="13" t="s">
        <v>106</v>
      </c>
      <c r="M43" s="13"/>
      <c r="N43" s="13"/>
      <c r="O43" s="13"/>
      <c r="P43" s="13"/>
      <c r="Q43" s="13"/>
      <c r="R43" s="32"/>
      <c r="S43" s="32"/>
      <c r="T43" s="32"/>
      <c r="U43" s="32"/>
      <c r="V43" s="13"/>
    </row>
    <row r="44" spans="1:23" s="10" customFormat="1">
      <c r="A44" s="146"/>
      <c r="B44" s="146"/>
      <c r="C44" s="146"/>
      <c r="D44" s="143" t="s">
        <v>107</v>
      </c>
      <c r="E44" s="144" t="s">
        <v>108</v>
      </c>
      <c r="F44" s="145" t="s">
        <v>109</v>
      </c>
      <c r="G44" s="13"/>
      <c r="H44" s="13"/>
      <c r="I44" s="16"/>
      <c r="J44" s="16"/>
      <c r="K44" s="32"/>
      <c r="L44" s="32"/>
      <c r="M44" s="32"/>
      <c r="N44" s="175">
        <v>1</v>
      </c>
      <c r="O44" s="175">
        <v>0</v>
      </c>
      <c r="P44" s="175">
        <v>0</v>
      </c>
      <c r="Q44" s="135">
        <f>SUM(N44:P44)</f>
        <v>1</v>
      </c>
      <c r="R44" s="32"/>
      <c r="S44" s="32"/>
      <c r="T44" s="32"/>
      <c r="U44" s="32"/>
      <c r="V44" s="13"/>
      <c r="W44" s="16"/>
    </row>
    <row r="45" spans="1:23" s="10" customFormat="1">
      <c r="A45" s="146"/>
      <c r="B45" s="146"/>
      <c r="C45" s="146"/>
      <c r="D45" s="143" t="s">
        <v>107</v>
      </c>
      <c r="E45" s="144" t="s">
        <v>110</v>
      </c>
      <c r="F45" s="145" t="s">
        <v>109</v>
      </c>
      <c r="G45" s="13"/>
      <c r="H45" s="13"/>
      <c r="I45" s="16"/>
      <c r="J45" s="16"/>
      <c r="K45" s="32"/>
      <c r="L45" s="32"/>
      <c r="M45" s="32"/>
      <c r="N45" s="175">
        <v>1</v>
      </c>
      <c r="O45" s="175">
        <v>0</v>
      </c>
      <c r="P45" s="175">
        <v>0</v>
      </c>
      <c r="Q45" s="135">
        <f>SUM(N45:P45)</f>
        <v>1</v>
      </c>
      <c r="R45" s="32"/>
      <c r="S45" s="32"/>
      <c r="T45" s="32"/>
      <c r="U45" s="32"/>
      <c r="V45" s="13"/>
      <c r="W45" s="16"/>
    </row>
    <row r="46" spans="1:23" s="10" customFormat="1">
      <c r="A46" s="146"/>
      <c r="B46" s="146"/>
      <c r="C46" s="146"/>
      <c r="D46" s="142"/>
      <c r="E46" s="144"/>
      <c r="F46" s="145"/>
      <c r="G46" s="13"/>
      <c r="H46" s="13"/>
      <c r="I46" s="16"/>
      <c r="J46" s="16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3"/>
      <c r="W46" s="16"/>
    </row>
    <row r="47" spans="1:23" s="7" customFormat="1" ht="15">
      <c r="A47" s="130"/>
      <c r="B47" s="8"/>
      <c r="C47" s="8"/>
      <c r="D47" s="134"/>
      <c r="E47" s="131" t="s">
        <v>233</v>
      </c>
      <c r="F47" s="132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s="10" customFormat="1">
      <c r="A48" s="146"/>
      <c r="B48" s="146"/>
      <c r="C48" s="146"/>
      <c r="D48" s="142"/>
      <c r="E48" s="144"/>
      <c r="F48" s="145"/>
      <c r="G48" s="13"/>
      <c r="H48" s="13"/>
      <c r="I48" s="16"/>
      <c r="J48" s="16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3"/>
      <c r="W48" s="16"/>
    </row>
    <row r="49" spans="1:23" s="10" customFormat="1">
      <c r="A49" s="146"/>
      <c r="B49" s="146"/>
      <c r="C49" s="146"/>
      <c r="D49" s="142"/>
      <c r="E49" s="161" t="s">
        <v>234</v>
      </c>
      <c r="F49" s="145"/>
      <c r="G49" s="13"/>
      <c r="H49" s="13"/>
      <c r="I49" s="16"/>
      <c r="J49" s="1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3"/>
      <c r="W49" s="16"/>
    </row>
    <row r="50" spans="1:23" s="10" customFormat="1">
      <c r="A50" s="146"/>
      <c r="B50" s="146"/>
      <c r="C50" s="146"/>
      <c r="D50" s="17" t="s">
        <v>81</v>
      </c>
      <c r="E50" s="24" t="s">
        <v>239</v>
      </c>
      <c r="F50" s="39" t="s">
        <v>96</v>
      </c>
      <c r="G50" s="13"/>
      <c r="H50" s="13"/>
      <c r="I50" s="16"/>
      <c r="J50" s="16"/>
      <c r="K50" s="32"/>
      <c r="L50" s="32"/>
      <c r="M50" s="32"/>
      <c r="N50" s="32"/>
      <c r="O50" s="174">
        <v>6</v>
      </c>
      <c r="P50" s="32"/>
      <c r="Q50" s="32"/>
      <c r="R50" s="32"/>
      <c r="S50" s="32"/>
      <c r="T50" s="32"/>
      <c r="U50" s="32"/>
      <c r="V50" s="13"/>
      <c r="W50" s="16"/>
    </row>
    <row r="51" spans="1:23" s="10" customFormat="1">
      <c r="A51" s="146"/>
      <c r="B51" s="146"/>
      <c r="C51" s="146"/>
      <c r="D51" s="17" t="s">
        <v>81</v>
      </c>
      <c r="E51" s="24" t="s">
        <v>240</v>
      </c>
      <c r="F51" s="39" t="s">
        <v>96</v>
      </c>
      <c r="G51" s="13"/>
      <c r="H51" s="13"/>
      <c r="I51" s="16"/>
      <c r="J51" s="16"/>
      <c r="K51" s="32"/>
      <c r="L51" s="32"/>
      <c r="M51" s="32"/>
      <c r="N51" s="32"/>
      <c r="O51" s="174">
        <v>4</v>
      </c>
      <c r="P51" s="32"/>
      <c r="Q51" s="32"/>
      <c r="R51" s="32"/>
      <c r="S51" s="32"/>
      <c r="T51" s="32"/>
      <c r="U51" s="32"/>
      <c r="V51" s="13"/>
      <c r="W51" s="16"/>
    </row>
    <row r="52" spans="1:23" s="10" customFormat="1">
      <c r="A52" s="146"/>
      <c r="B52" s="146"/>
      <c r="C52" s="146"/>
      <c r="D52" s="142"/>
      <c r="E52" s="144"/>
      <c r="F52" s="145"/>
      <c r="G52" s="13"/>
      <c r="H52" s="13"/>
      <c r="I52" s="16"/>
      <c r="J52" s="16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3"/>
      <c r="W52" s="16"/>
    </row>
    <row r="53" spans="1:23" s="10" customFormat="1">
      <c r="A53" s="146"/>
      <c r="B53" s="146"/>
      <c r="C53" s="146"/>
      <c r="D53" s="17" t="s">
        <v>81</v>
      </c>
      <c r="E53" s="24" t="s">
        <v>241</v>
      </c>
      <c r="F53" s="39" t="s">
        <v>96</v>
      </c>
      <c r="G53" s="13"/>
      <c r="H53" s="13"/>
      <c r="I53" s="16"/>
      <c r="J53" s="16"/>
      <c r="K53" s="32"/>
      <c r="L53" s="32"/>
      <c r="M53" s="32"/>
      <c r="N53" s="32"/>
      <c r="O53" s="32"/>
      <c r="P53" s="174">
        <v>0</v>
      </c>
      <c r="Q53" s="32"/>
      <c r="R53" s="32"/>
      <c r="S53" s="32"/>
      <c r="T53" s="32"/>
      <c r="U53" s="32"/>
      <c r="V53" s="13"/>
      <c r="W53" s="16"/>
    </row>
    <row r="54" spans="1:23" s="10" customFormat="1">
      <c r="A54" s="146"/>
      <c r="B54" s="146"/>
      <c r="C54" s="146"/>
      <c r="D54" s="17" t="s">
        <v>81</v>
      </c>
      <c r="E54" s="24" t="s">
        <v>242</v>
      </c>
      <c r="F54" s="39" t="s">
        <v>96</v>
      </c>
      <c r="G54" s="13"/>
      <c r="H54" s="13"/>
      <c r="I54" s="16"/>
      <c r="J54" s="16"/>
      <c r="K54" s="32"/>
      <c r="L54" s="32"/>
      <c r="M54" s="32"/>
      <c r="N54" s="32"/>
      <c r="O54" s="32"/>
      <c r="P54" s="174">
        <v>0</v>
      </c>
      <c r="Q54" s="32"/>
      <c r="R54" s="32"/>
      <c r="S54" s="32"/>
      <c r="T54" s="32"/>
      <c r="U54" s="32"/>
      <c r="V54" s="13"/>
      <c r="W54" s="16"/>
    </row>
    <row r="55" spans="1:23" s="10" customFormat="1" ht="13.5" thickBot="1">
      <c r="A55" s="146"/>
      <c r="B55" s="146"/>
      <c r="C55" s="146"/>
      <c r="D55" s="142"/>
      <c r="E55" s="144"/>
      <c r="F55" s="145"/>
      <c r="G55" s="13"/>
      <c r="H55" s="13"/>
      <c r="I55" s="16"/>
      <c r="J55" s="16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3"/>
      <c r="W55" s="16"/>
    </row>
    <row r="56" spans="1:23" ht="13.5" thickBot="1">
      <c r="A56" s="11" t="s">
        <v>111</v>
      </c>
      <c r="B56" s="12"/>
      <c r="C56" s="12"/>
      <c r="D56" s="12"/>
      <c r="E56" s="12"/>
      <c r="F56" s="40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/>
    <row r="58" spans="1:23" hidden="1"/>
    <row r="59" spans="1:23" hidden="1"/>
    <row r="60" spans="1:23" hidden="1"/>
    <row r="61" spans="1:23" hidden="1"/>
    <row r="62" spans="1:23" hidden="1"/>
    <row r="63" spans="1:23"/>
    <row r="64" spans="1:23"/>
    <row r="65"/>
    <row r="66"/>
    <row r="67"/>
    <row r="68"/>
    <row r="69"/>
    <row r="70"/>
    <row r="71"/>
    <row r="72"/>
    <row r="73"/>
    <row r="74"/>
    <row r="75"/>
    <row r="76"/>
  </sheetData>
  <dataValidations count="2">
    <dataValidation type="list" allowBlank="1" showInputMessage="1" showErrorMessage="1" sqref="G11">
      <formula1>"WaSC,WOC"</formula1>
    </dataValidation>
    <dataValidation type="list" allowBlank="1" showInputMessage="1" showErrorMessage="1" sqref="G12">
      <formula1>"True,False"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Z65"/>
  <sheetViews>
    <sheetView showGridLines="0" zoomScale="80" zoomScaleNormal="80" workbookViewId="0">
      <pane xSplit="5" ySplit="5" topLeftCell="F6" activePane="bottomRight" state="frozen"/>
      <selection activeCell="A20" sqref="A20"/>
      <selection pane="topRight" activeCell="A20" sqref="A20"/>
      <selection pane="bottomLeft" activeCell="A20" sqref="A20"/>
      <selection pane="bottomRight" activeCell="V15" sqref="V15"/>
    </sheetView>
  </sheetViews>
  <sheetFormatPr defaultColWidth="0" defaultRowHeight="0" customHeight="1" zeroHeight="1"/>
  <cols>
    <col min="1" max="3" width="4.7109375" style="43" customWidth="1"/>
    <col min="4" max="4" width="11.7109375" style="43" customWidth="1"/>
    <col min="5" max="5" width="53.140625" style="43" customWidth="1"/>
    <col min="6" max="7" width="2.7109375" style="43" customWidth="1"/>
    <col min="8" max="21" width="11" style="43" customWidth="1"/>
    <col min="22" max="22" width="35.28515625" style="44" customWidth="1"/>
    <col min="23" max="26" width="8.85546875" style="43" hidden="1" customWidth="1"/>
    <col min="27" max="259" width="0" style="43" hidden="1" customWidth="1"/>
    <col min="260" max="16384" width="0" style="43" hidden="1"/>
  </cols>
  <sheetData>
    <row r="1" spans="1:24" s="97" customFormat="1" ht="33.75">
      <c r="A1" s="110"/>
      <c r="B1" s="110"/>
      <c r="C1" s="109"/>
      <c r="D1" s="108" t="s">
        <v>112</v>
      </c>
      <c r="E1" s="108"/>
      <c r="F1" s="108"/>
      <c r="G1" s="108"/>
      <c r="H1" s="108"/>
      <c r="I1" s="106"/>
      <c r="J1" s="106"/>
      <c r="K1" s="107"/>
      <c r="L1" s="107"/>
      <c r="M1" s="106"/>
      <c r="N1" s="106"/>
      <c r="O1" s="106"/>
      <c r="P1" s="106"/>
      <c r="Q1" s="106"/>
      <c r="R1" s="106"/>
      <c r="S1" s="106"/>
      <c r="T1" s="106"/>
      <c r="U1" s="105"/>
      <c r="V1" s="104"/>
      <c r="W1" s="99"/>
      <c r="X1" s="98"/>
    </row>
    <row r="2" spans="1:24" s="97" customFormat="1" ht="12.75">
      <c r="A2" s="49"/>
      <c r="B2" s="53"/>
      <c r="C2" s="70"/>
      <c r="D2" s="53"/>
      <c r="E2" s="64"/>
      <c r="F2" s="64"/>
      <c r="G2" s="64"/>
      <c r="H2" s="103"/>
      <c r="I2" s="102"/>
      <c r="J2" s="102"/>
      <c r="K2" s="102"/>
      <c r="L2" s="102"/>
      <c r="M2" s="102"/>
      <c r="S2" s="101"/>
      <c r="T2" s="101"/>
      <c r="U2" s="100"/>
      <c r="V2" s="43"/>
      <c r="W2" s="99"/>
      <c r="X2" s="98"/>
    </row>
    <row r="3" spans="1:24" s="92" customFormat="1" ht="15">
      <c r="A3" s="84"/>
      <c r="B3" s="87"/>
      <c r="C3" s="88"/>
      <c r="D3" s="87"/>
      <c r="E3" s="96" t="s">
        <v>57</v>
      </c>
      <c r="F3" s="96"/>
      <c r="G3" s="96"/>
      <c r="H3" s="94" t="s">
        <v>113</v>
      </c>
      <c r="I3" s="94" t="str">
        <f t="shared" ref="I3:U3" si="0">AMP.Years</f>
        <v>2012-13</v>
      </c>
      <c r="J3" s="94" t="str">
        <f t="shared" si="0"/>
        <v>2013-14</v>
      </c>
      <c r="K3" s="94" t="str">
        <f t="shared" si="0"/>
        <v>2014-15</v>
      </c>
      <c r="L3" s="95" t="str">
        <f t="shared" si="0"/>
        <v>2015-16</v>
      </c>
      <c r="M3" s="95" t="str">
        <f t="shared" si="0"/>
        <v>2016-17</v>
      </c>
      <c r="N3" s="95" t="str">
        <f t="shared" si="0"/>
        <v>2017-18</v>
      </c>
      <c r="O3" s="95" t="str">
        <f t="shared" si="0"/>
        <v>2018-19</v>
      </c>
      <c r="P3" s="95" t="str">
        <f t="shared" si="0"/>
        <v>2019-20</v>
      </c>
      <c r="Q3" s="94" t="str">
        <f t="shared" si="0"/>
        <v>2020-21</v>
      </c>
      <c r="R3" s="94" t="str">
        <f t="shared" si="0"/>
        <v>2021-22</v>
      </c>
      <c r="S3" s="94" t="str">
        <f t="shared" si="0"/>
        <v>2022-23</v>
      </c>
      <c r="T3" s="94" t="str">
        <f t="shared" si="0"/>
        <v>2023-24</v>
      </c>
      <c r="U3" s="94" t="str">
        <f t="shared" si="0"/>
        <v>2024-25</v>
      </c>
      <c r="V3" s="93"/>
    </row>
    <row r="4" spans="1:24" s="89" customFormat="1" ht="18" customHeight="1">
      <c r="A4" s="49"/>
      <c r="B4" s="53"/>
      <c r="C4" s="70"/>
      <c r="D4" s="53"/>
      <c r="E4" s="91"/>
      <c r="F4" s="91"/>
      <c r="G4" s="91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90"/>
    </row>
    <row r="5" spans="1:24" s="84" customFormat="1" ht="12.75">
      <c r="B5" s="87"/>
      <c r="C5" s="88"/>
      <c r="D5" s="87"/>
      <c r="E5" s="87" t="s">
        <v>114</v>
      </c>
      <c r="F5" s="87"/>
      <c r="G5" s="87"/>
      <c r="H5" s="86">
        <v>2011</v>
      </c>
      <c r="I5" s="86">
        <f t="shared" ref="I5:U5" si="1">Calendar.Years</f>
        <v>2012</v>
      </c>
      <c r="J5" s="86">
        <f t="shared" si="1"/>
        <v>2013</v>
      </c>
      <c r="K5" s="86">
        <f t="shared" si="1"/>
        <v>2014</v>
      </c>
      <c r="L5" s="86">
        <f t="shared" si="1"/>
        <v>2015</v>
      </c>
      <c r="M5" s="86">
        <f t="shared" si="1"/>
        <v>2016</v>
      </c>
      <c r="N5" s="86">
        <f t="shared" si="1"/>
        <v>2017</v>
      </c>
      <c r="O5" s="86">
        <f t="shared" si="1"/>
        <v>2018</v>
      </c>
      <c r="P5" s="86">
        <f t="shared" si="1"/>
        <v>2019</v>
      </c>
      <c r="Q5" s="86">
        <f t="shared" si="1"/>
        <v>2020</v>
      </c>
      <c r="R5" s="86">
        <f t="shared" si="1"/>
        <v>2021</v>
      </c>
      <c r="S5" s="86">
        <f t="shared" si="1"/>
        <v>2022</v>
      </c>
      <c r="T5" s="86">
        <f t="shared" si="1"/>
        <v>2023</v>
      </c>
      <c r="U5" s="86">
        <f t="shared" si="1"/>
        <v>2024</v>
      </c>
      <c r="V5" s="85"/>
    </row>
    <row r="6" spans="1:24" s="49" customFormat="1" ht="12.75">
      <c r="B6" s="53"/>
      <c r="C6" s="70"/>
      <c r="D6" s="53"/>
      <c r="E6" s="83" t="s">
        <v>59</v>
      </c>
      <c r="F6" s="53"/>
      <c r="G6" s="53"/>
      <c r="H6" s="82">
        <v>-3</v>
      </c>
      <c r="I6" s="82">
        <v>-2</v>
      </c>
      <c r="J6" s="82">
        <v>-1</v>
      </c>
      <c r="K6" s="82">
        <v>0</v>
      </c>
      <c r="L6" s="82">
        <v>1</v>
      </c>
      <c r="M6" s="82">
        <v>2</v>
      </c>
      <c r="N6" s="82">
        <v>3</v>
      </c>
      <c r="O6" s="82">
        <v>4</v>
      </c>
      <c r="P6" s="82">
        <v>5</v>
      </c>
      <c r="Q6" s="82">
        <v>6</v>
      </c>
      <c r="R6" s="82">
        <v>7</v>
      </c>
      <c r="S6" s="82">
        <v>8</v>
      </c>
      <c r="T6" s="82">
        <v>9</v>
      </c>
      <c r="U6" s="82">
        <v>10</v>
      </c>
      <c r="V6" s="50"/>
    </row>
    <row r="7" spans="1:24" s="49" customFormat="1" ht="12.75" customHeight="1">
      <c r="B7" s="53"/>
      <c r="C7" s="70"/>
      <c r="D7" s="53"/>
      <c r="F7" s="69"/>
      <c r="G7" s="69"/>
      <c r="I7" s="68" t="s">
        <v>115</v>
      </c>
      <c r="J7" s="68" t="s">
        <v>115</v>
      </c>
      <c r="K7" s="68" t="s">
        <v>115</v>
      </c>
      <c r="L7" s="68" t="s">
        <v>115</v>
      </c>
      <c r="M7" s="68" t="s">
        <v>115</v>
      </c>
      <c r="N7" s="68" t="s">
        <v>115</v>
      </c>
      <c r="O7" s="68" t="s">
        <v>115</v>
      </c>
      <c r="P7" s="68" t="s">
        <v>115</v>
      </c>
      <c r="Q7" s="68" t="s">
        <v>115</v>
      </c>
      <c r="R7" s="68" t="s">
        <v>115</v>
      </c>
      <c r="S7" s="68" t="s">
        <v>115</v>
      </c>
      <c r="T7" s="68" t="s">
        <v>115</v>
      </c>
      <c r="U7" s="68" t="s">
        <v>115</v>
      </c>
      <c r="V7" s="50"/>
    </row>
    <row r="8" spans="1:24" s="49" customFormat="1" ht="12.75" customHeight="1">
      <c r="A8" s="81"/>
      <c r="B8" s="80"/>
      <c r="C8" s="80"/>
      <c r="D8" s="78"/>
      <c r="E8" s="79" t="s">
        <v>46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spans="1:24" s="49" customFormat="1" ht="12.75" customHeight="1">
      <c r="B9" s="53"/>
      <c r="C9" s="70"/>
      <c r="D9" s="53"/>
      <c r="E9" s="69"/>
      <c r="F9" s="69"/>
      <c r="G9" s="69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50"/>
    </row>
    <row r="10" spans="1:24" s="49" customFormat="1" ht="12.75" customHeight="1">
      <c r="B10" s="53"/>
      <c r="C10" s="70"/>
      <c r="D10" s="53"/>
      <c r="E10" s="69" t="s">
        <v>116</v>
      </c>
      <c r="F10" s="69"/>
      <c r="G10" s="6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50"/>
    </row>
    <row r="11" spans="1:24" s="49" customFormat="1" ht="12.75">
      <c r="B11" s="66">
        <v>1</v>
      </c>
      <c r="C11" s="70"/>
      <c r="D11" s="53" t="s">
        <v>117</v>
      </c>
      <c r="E11" s="62" t="s">
        <v>118</v>
      </c>
      <c r="F11" s="62"/>
      <c r="G11" s="62"/>
      <c r="I11" s="77">
        <v>242.5</v>
      </c>
      <c r="J11" s="77">
        <v>249.5</v>
      </c>
      <c r="K11" s="77">
        <v>255.7</v>
      </c>
      <c r="L11" s="77">
        <v>258</v>
      </c>
      <c r="M11" s="77">
        <v>261.39999999999998</v>
      </c>
      <c r="N11" s="77">
        <v>270.60000000000002</v>
      </c>
      <c r="O11" s="77">
        <v>279.7</v>
      </c>
      <c r="P11" s="176">
        <v>288.09100000000001</v>
      </c>
      <c r="Q11" s="176">
        <v>296.73373000000004</v>
      </c>
      <c r="R11" s="176">
        <v>305.63574190000003</v>
      </c>
      <c r="S11" s="176">
        <v>314.80481415700001</v>
      </c>
      <c r="T11" s="176">
        <v>324.24895858171004</v>
      </c>
      <c r="U11" s="176">
        <v>333.97642733916138</v>
      </c>
      <c r="V11" s="50"/>
    </row>
    <row r="12" spans="1:24" s="49" customFormat="1" ht="12.75">
      <c r="B12" s="66">
        <v>2</v>
      </c>
      <c r="C12" s="70"/>
      <c r="D12" s="53" t="s">
        <v>117</v>
      </c>
      <c r="E12" s="62" t="s">
        <v>119</v>
      </c>
      <c r="F12" s="62"/>
      <c r="G12" s="62"/>
      <c r="I12" s="77">
        <v>242.4</v>
      </c>
      <c r="J12" s="77">
        <v>250</v>
      </c>
      <c r="K12" s="77">
        <v>255.9</v>
      </c>
      <c r="L12" s="77">
        <v>258.5</v>
      </c>
      <c r="M12" s="77">
        <v>262.10000000000002</v>
      </c>
      <c r="N12" s="77">
        <v>271.7</v>
      </c>
      <c r="O12" s="77">
        <v>280.7</v>
      </c>
      <c r="P12" s="176">
        <v>289.12099999999998</v>
      </c>
      <c r="Q12" s="176">
        <v>297.79462999999998</v>
      </c>
      <c r="R12" s="176">
        <v>306.7284689</v>
      </c>
      <c r="S12" s="176">
        <v>315.930322967</v>
      </c>
      <c r="T12" s="176">
        <v>325.40823265601</v>
      </c>
      <c r="U12" s="176">
        <v>335.1704796356903</v>
      </c>
      <c r="V12" s="50"/>
    </row>
    <row r="13" spans="1:24" s="49" customFormat="1" ht="12.75">
      <c r="B13" s="66">
        <v>3</v>
      </c>
      <c r="C13" s="70"/>
      <c r="D13" s="53" t="s">
        <v>117</v>
      </c>
      <c r="E13" s="62" t="s">
        <v>120</v>
      </c>
      <c r="F13" s="62"/>
      <c r="G13" s="62"/>
      <c r="I13" s="77">
        <v>241.8</v>
      </c>
      <c r="J13" s="77">
        <v>249.7</v>
      </c>
      <c r="K13" s="77">
        <v>256.3</v>
      </c>
      <c r="L13" s="77">
        <v>258.89999999999998</v>
      </c>
      <c r="M13" s="77">
        <v>263.10000000000002</v>
      </c>
      <c r="N13" s="77">
        <v>272.3</v>
      </c>
      <c r="O13" s="77">
        <v>281.5</v>
      </c>
      <c r="P13" s="176">
        <v>289.94499999999999</v>
      </c>
      <c r="Q13" s="176">
        <v>298.64335</v>
      </c>
      <c r="R13" s="176">
        <v>307.60265049999998</v>
      </c>
      <c r="S13" s="176">
        <v>316.83073001499997</v>
      </c>
      <c r="T13" s="176">
        <v>326.33565191545</v>
      </c>
      <c r="U13" s="176">
        <v>336.12572147291348</v>
      </c>
      <c r="V13" s="50"/>
    </row>
    <row r="14" spans="1:24" s="49" customFormat="1" ht="12.75">
      <c r="B14" s="66">
        <v>4</v>
      </c>
      <c r="C14" s="70"/>
      <c r="D14" s="53" t="s">
        <v>117</v>
      </c>
      <c r="E14" s="62" t="s">
        <v>121</v>
      </c>
      <c r="F14" s="62"/>
      <c r="G14" s="62"/>
      <c r="I14" s="77">
        <v>242.1</v>
      </c>
      <c r="J14" s="77">
        <v>249.7</v>
      </c>
      <c r="K14" s="77">
        <v>256</v>
      </c>
      <c r="L14" s="77">
        <v>258.60000000000002</v>
      </c>
      <c r="M14" s="77">
        <v>263.39999999999998</v>
      </c>
      <c r="N14" s="77">
        <v>272.89999999999998</v>
      </c>
      <c r="O14" s="77">
        <v>281.7</v>
      </c>
      <c r="P14" s="176">
        <v>290.15100000000001</v>
      </c>
      <c r="Q14" s="176">
        <v>298.85553000000004</v>
      </c>
      <c r="R14" s="176">
        <v>307.82119590000008</v>
      </c>
      <c r="S14" s="176">
        <v>317.05583177700009</v>
      </c>
      <c r="T14" s="176">
        <v>326.56750673031013</v>
      </c>
      <c r="U14" s="176">
        <v>336.36453193221945</v>
      </c>
      <c r="V14" s="50"/>
    </row>
    <row r="15" spans="1:24" s="49" customFormat="1" ht="12.75">
      <c r="B15" s="66">
        <v>5</v>
      </c>
      <c r="C15" s="70"/>
      <c r="D15" s="53" t="s">
        <v>117</v>
      </c>
      <c r="E15" s="62" t="s">
        <v>122</v>
      </c>
      <c r="F15" s="62"/>
      <c r="G15" s="62"/>
      <c r="I15" s="77">
        <v>243</v>
      </c>
      <c r="J15" s="77">
        <v>251</v>
      </c>
      <c r="K15" s="77">
        <v>257</v>
      </c>
      <c r="L15" s="77">
        <v>259.8</v>
      </c>
      <c r="M15" s="77">
        <v>264.39999999999998</v>
      </c>
      <c r="N15" s="77">
        <v>274.7</v>
      </c>
      <c r="O15" s="77">
        <v>284.2</v>
      </c>
      <c r="P15" s="176">
        <v>292.726</v>
      </c>
      <c r="Q15" s="176">
        <v>301.50778000000003</v>
      </c>
      <c r="R15" s="176">
        <v>310.55301340000005</v>
      </c>
      <c r="S15" s="176">
        <v>319.86960380200009</v>
      </c>
      <c r="T15" s="176">
        <v>329.46569191606011</v>
      </c>
      <c r="U15" s="176">
        <v>339.3496626735419</v>
      </c>
      <c r="V15" s="50"/>
    </row>
    <row r="16" spans="1:24" s="49" customFormat="1" ht="12.75">
      <c r="B16" s="66">
        <v>6</v>
      </c>
      <c r="C16" s="70"/>
      <c r="D16" s="53" t="s">
        <v>117</v>
      </c>
      <c r="E16" s="62" t="s">
        <v>123</v>
      </c>
      <c r="F16" s="62"/>
      <c r="G16" s="62"/>
      <c r="I16" s="77">
        <v>244.2</v>
      </c>
      <c r="J16" s="77">
        <v>251.9</v>
      </c>
      <c r="K16" s="77">
        <v>257.60000000000002</v>
      </c>
      <c r="L16" s="77">
        <v>259.60000000000002</v>
      </c>
      <c r="M16" s="77">
        <v>264.89999999999998</v>
      </c>
      <c r="N16" s="77">
        <v>275.10000000000002</v>
      </c>
      <c r="O16" s="77">
        <v>284.10000000000002</v>
      </c>
      <c r="P16" s="176">
        <v>292.62300000000005</v>
      </c>
      <c r="Q16" s="176">
        <v>301.40169000000003</v>
      </c>
      <c r="R16" s="176">
        <v>310.44374070000003</v>
      </c>
      <c r="S16" s="176">
        <v>319.75705292100002</v>
      </c>
      <c r="T16" s="176">
        <v>329.34976450863002</v>
      </c>
      <c r="U16" s="176">
        <v>339.23025744388895</v>
      </c>
      <c r="V16" s="50"/>
    </row>
    <row r="17" spans="2:22" s="49" customFormat="1" ht="12.75">
      <c r="B17" s="66">
        <v>7</v>
      </c>
      <c r="C17" s="70"/>
      <c r="D17" s="53" t="s">
        <v>117</v>
      </c>
      <c r="E17" s="62" t="s">
        <v>124</v>
      </c>
      <c r="F17" s="62"/>
      <c r="G17" s="62"/>
      <c r="I17" s="77">
        <v>245.6</v>
      </c>
      <c r="J17" s="77">
        <v>251.9</v>
      </c>
      <c r="K17" s="77">
        <v>257.7</v>
      </c>
      <c r="L17" s="77">
        <v>259.5</v>
      </c>
      <c r="M17" s="77">
        <v>264.8</v>
      </c>
      <c r="N17" s="77">
        <v>275.3</v>
      </c>
      <c r="O17" s="77">
        <v>284.5</v>
      </c>
      <c r="P17" s="176">
        <v>293.03500000000003</v>
      </c>
      <c r="Q17" s="176">
        <v>301.82605000000001</v>
      </c>
      <c r="R17" s="176">
        <v>310.8808315</v>
      </c>
      <c r="S17" s="176">
        <v>320.20725644499998</v>
      </c>
      <c r="T17" s="176">
        <v>329.81347413834999</v>
      </c>
      <c r="U17" s="176">
        <v>339.70787836250048</v>
      </c>
      <c r="V17" s="50"/>
    </row>
    <row r="18" spans="2:22" s="49" customFormat="1" ht="12.75">
      <c r="B18" s="66">
        <v>8</v>
      </c>
      <c r="C18" s="70"/>
      <c r="D18" s="53" t="s">
        <v>117</v>
      </c>
      <c r="E18" s="62" t="s">
        <v>125</v>
      </c>
      <c r="F18" s="62"/>
      <c r="G18" s="62"/>
      <c r="H18" s="77">
        <v>238.5</v>
      </c>
      <c r="I18" s="77">
        <v>245.6</v>
      </c>
      <c r="J18" s="77">
        <v>252.1</v>
      </c>
      <c r="K18" s="77">
        <v>257.10000000000002</v>
      </c>
      <c r="L18" s="77">
        <v>259.8</v>
      </c>
      <c r="M18" s="77">
        <v>265.5</v>
      </c>
      <c r="N18" s="77">
        <v>275.8</v>
      </c>
      <c r="O18" s="77">
        <v>284.60000000000002</v>
      </c>
      <c r="P18" s="176">
        <v>293.13800000000003</v>
      </c>
      <c r="Q18" s="176">
        <v>301.93214000000006</v>
      </c>
      <c r="R18" s="176">
        <v>310.99010420000008</v>
      </c>
      <c r="S18" s="176">
        <v>320.3198073260001</v>
      </c>
      <c r="T18" s="176">
        <v>329.92940154578014</v>
      </c>
      <c r="U18" s="176">
        <v>339.82728359215355</v>
      </c>
      <c r="V18" s="50"/>
    </row>
    <row r="19" spans="2:22" s="49" customFormat="1" ht="12.75">
      <c r="B19" s="66">
        <v>9</v>
      </c>
      <c r="C19" s="70"/>
      <c r="D19" s="53" t="s">
        <v>117</v>
      </c>
      <c r="E19" s="62" t="s">
        <v>126</v>
      </c>
      <c r="F19" s="62"/>
      <c r="G19" s="62"/>
      <c r="I19" s="77">
        <v>246.8</v>
      </c>
      <c r="J19" s="77">
        <v>253.4</v>
      </c>
      <c r="K19" s="77">
        <v>257.5</v>
      </c>
      <c r="L19" s="77">
        <v>260.60000000000002</v>
      </c>
      <c r="M19" s="77">
        <v>267.10000000000002</v>
      </c>
      <c r="N19" s="77">
        <v>278.10000000000002</v>
      </c>
      <c r="O19" s="77">
        <v>285.60000000000002</v>
      </c>
      <c r="P19" s="176">
        <v>294.16800000000001</v>
      </c>
      <c r="Q19" s="176">
        <v>302.99304000000001</v>
      </c>
      <c r="R19" s="176">
        <v>312.08283120000004</v>
      </c>
      <c r="S19" s="176">
        <v>321.44531613600003</v>
      </c>
      <c r="T19" s="176">
        <v>331.08867562008004</v>
      </c>
      <c r="U19" s="176">
        <v>341.02133588868247</v>
      </c>
      <c r="V19" s="50"/>
    </row>
    <row r="20" spans="2:22" s="49" customFormat="1" ht="12.75">
      <c r="B20" s="66">
        <v>10</v>
      </c>
      <c r="C20" s="70"/>
      <c r="D20" s="53" t="s">
        <v>117</v>
      </c>
      <c r="E20" s="62" t="s">
        <v>127</v>
      </c>
      <c r="F20" s="62"/>
      <c r="G20" s="62"/>
      <c r="I20" s="77">
        <v>245.8</v>
      </c>
      <c r="J20" s="77">
        <v>252.6</v>
      </c>
      <c r="K20" s="77">
        <v>255.4</v>
      </c>
      <c r="L20" s="77">
        <v>258.8</v>
      </c>
      <c r="M20" s="77">
        <v>265.5</v>
      </c>
      <c r="N20" s="77">
        <v>276</v>
      </c>
      <c r="O20" s="77">
        <v>283</v>
      </c>
      <c r="P20" s="176">
        <v>291.49</v>
      </c>
      <c r="Q20" s="176">
        <v>300.23470000000003</v>
      </c>
      <c r="R20" s="176">
        <v>309.24174100000005</v>
      </c>
      <c r="S20" s="176">
        <v>318.51899323000004</v>
      </c>
      <c r="T20" s="176">
        <v>328.07456302690002</v>
      </c>
      <c r="U20" s="176">
        <v>337.91679991770701</v>
      </c>
      <c r="V20" s="50"/>
    </row>
    <row r="21" spans="2:22" s="49" customFormat="1" ht="12.75">
      <c r="B21" s="66">
        <v>11</v>
      </c>
      <c r="C21" s="70"/>
      <c r="D21" s="53" t="s">
        <v>117</v>
      </c>
      <c r="E21" s="62" t="s">
        <v>128</v>
      </c>
      <c r="F21" s="62"/>
      <c r="G21" s="62"/>
      <c r="I21" s="77">
        <v>247.6</v>
      </c>
      <c r="J21" s="77">
        <v>254.2</v>
      </c>
      <c r="K21" s="77">
        <v>256.7</v>
      </c>
      <c r="L21" s="77">
        <v>260</v>
      </c>
      <c r="M21" s="77">
        <v>268.39999999999998</v>
      </c>
      <c r="N21" s="77">
        <v>278.10000000000002</v>
      </c>
      <c r="O21" s="77">
        <v>285</v>
      </c>
      <c r="P21" s="176">
        <v>293.55</v>
      </c>
      <c r="Q21" s="176">
        <v>302.35650000000004</v>
      </c>
      <c r="R21" s="176">
        <v>311.42719500000004</v>
      </c>
      <c r="S21" s="176">
        <v>320.77001085000006</v>
      </c>
      <c r="T21" s="176">
        <v>330.39311117550005</v>
      </c>
      <c r="U21" s="176">
        <v>340.30490451076508</v>
      </c>
      <c r="V21" s="50"/>
    </row>
    <row r="22" spans="2:22" s="49" customFormat="1" ht="12.75">
      <c r="B22" s="66">
        <v>12</v>
      </c>
      <c r="C22" s="70"/>
      <c r="D22" s="53" t="s">
        <v>117</v>
      </c>
      <c r="E22" s="62" t="s">
        <v>129</v>
      </c>
      <c r="F22" s="62"/>
      <c r="G22" s="62"/>
      <c r="I22" s="77">
        <v>248.7</v>
      </c>
      <c r="J22" s="77">
        <v>254.8</v>
      </c>
      <c r="K22" s="77">
        <v>257.10000000000002</v>
      </c>
      <c r="L22" s="77">
        <v>261.10000000000002</v>
      </c>
      <c r="M22" s="77">
        <v>269.3</v>
      </c>
      <c r="N22" s="77">
        <v>278.3</v>
      </c>
      <c r="O22" s="77">
        <v>285.10000000000002</v>
      </c>
      <c r="P22" s="176">
        <v>293.65300000000002</v>
      </c>
      <c r="Q22" s="176">
        <v>302.46259000000003</v>
      </c>
      <c r="R22" s="176">
        <v>311.53646770000006</v>
      </c>
      <c r="S22" s="176">
        <v>320.88256173100007</v>
      </c>
      <c r="T22" s="176">
        <v>330.50903858293009</v>
      </c>
      <c r="U22" s="176">
        <v>340.42430974041798</v>
      </c>
      <c r="V22" s="50"/>
    </row>
    <row r="23" spans="2:22" s="71" customFormat="1" ht="12.75">
      <c r="B23" s="52"/>
      <c r="C23" s="74"/>
      <c r="D23" s="52"/>
      <c r="E23" s="52"/>
      <c r="F23" s="52"/>
      <c r="G23" s="52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2"/>
    </row>
    <row r="24" spans="2:22" s="71" customFormat="1" ht="25.5">
      <c r="B24" s="52"/>
      <c r="C24" s="74"/>
      <c r="D24" s="52" t="s">
        <v>130</v>
      </c>
      <c r="E24" s="156" t="s">
        <v>231</v>
      </c>
      <c r="F24" s="52"/>
      <c r="G24" s="52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2"/>
    </row>
    <row r="25" spans="2:22" s="71" customFormat="1" ht="12.75">
      <c r="B25" s="52"/>
      <c r="C25" s="74"/>
      <c r="D25" s="52"/>
      <c r="E25" s="52"/>
      <c r="F25" s="52"/>
      <c r="G25" s="52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2"/>
    </row>
    <row r="26" spans="2:22" s="71" customFormat="1" ht="12.75">
      <c r="B26" s="52"/>
      <c r="C26" s="74" t="s">
        <v>131</v>
      </c>
      <c r="D26" s="52"/>
      <c r="E26" s="52"/>
      <c r="F26" s="52"/>
      <c r="G26" s="52"/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2" t="s">
        <v>132</v>
      </c>
    </row>
    <row r="27" spans="2:22" s="49" customFormat="1" ht="12.75" customHeight="1">
      <c r="B27" s="53"/>
      <c r="C27" s="70"/>
      <c r="D27" s="53"/>
      <c r="E27" s="53"/>
      <c r="F27" s="53"/>
      <c r="G27" s="53"/>
      <c r="I27" s="68" t="s">
        <v>115</v>
      </c>
      <c r="J27" s="68" t="s">
        <v>115</v>
      </c>
      <c r="K27" s="68" t="s">
        <v>115</v>
      </c>
      <c r="L27" s="68" t="s">
        <v>115</v>
      </c>
      <c r="M27" s="68" t="s">
        <v>115</v>
      </c>
      <c r="N27" s="68" t="s">
        <v>115</v>
      </c>
      <c r="O27" s="68" t="s">
        <v>115</v>
      </c>
      <c r="P27" s="68" t="s">
        <v>115</v>
      </c>
      <c r="Q27" s="68" t="s">
        <v>115</v>
      </c>
      <c r="R27" s="68" t="s">
        <v>115</v>
      </c>
      <c r="S27" s="68" t="s">
        <v>115</v>
      </c>
      <c r="T27" s="68" t="s">
        <v>115</v>
      </c>
      <c r="U27" s="68" t="s">
        <v>115</v>
      </c>
      <c r="V27" s="50"/>
    </row>
    <row r="28" spans="2:22" s="49" customFormat="1" ht="12.75" customHeight="1">
      <c r="B28" s="53"/>
      <c r="D28" s="53"/>
      <c r="E28" s="69" t="s">
        <v>133</v>
      </c>
      <c r="F28" s="69"/>
      <c r="G28" s="69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50"/>
    </row>
    <row r="29" spans="2:22" ht="12.75" customHeight="1">
      <c r="B29" s="66">
        <v>1</v>
      </c>
      <c r="C29" s="64"/>
      <c r="D29" s="63" t="s">
        <v>117</v>
      </c>
      <c r="E29" s="62" t="s">
        <v>118</v>
      </c>
      <c r="F29" s="62"/>
      <c r="G29" s="62"/>
      <c r="H29" s="66">
        <v>0</v>
      </c>
      <c r="I29" s="65">
        <f t="shared" ref="I29:U29" si="2">IF(I11&lt;&gt;0,I11,H29*SUM(1,I$24))</f>
        <v>242.5</v>
      </c>
      <c r="J29" s="65">
        <f t="shared" si="2"/>
        <v>249.5</v>
      </c>
      <c r="K29" s="65">
        <f t="shared" si="2"/>
        <v>255.7</v>
      </c>
      <c r="L29" s="65">
        <f t="shared" si="2"/>
        <v>258</v>
      </c>
      <c r="M29" s="65">
        <f t="shared" si="2"/>
        <v>261.39999999999998</v>
      </c>
      <c r="N29" s="65">
        <f t="shared" si="2"/>
        <v>270.60000000000002</v>
      </c>
      <c r="O29" s="65">
        <f t="shared" si="2"/>
        <v>279.7</v>
      </c>
      <c r="P29" s="65">
        <f t="shared" si="2"/>
        <v>288.09100000000001</v>
      </c>
      <c r="Q29" s="65">
        <f t="shared" si="2"/>
        <v>296.73373000000004</v>
      </c>
      <c r="R29" s="65">
        <f t="shared" si="2"/>
        <v>305.63574190000003</v>
      </c>
      <c r="S29" s="65">
        <f t="shared" si="2"/>
        <v>314.80481415700001</v>
      </c>
      <c r="T29" s="65">
        <f t="shared" si="2"/>
        <v>324.24895858171004</v>
      </c>
      <c r="U29" s="65">
        <f t="shared" si="2"/>
        <v>333.97642733916138</v>
      </c>
    </row>
    <row r="30" spans="2:22" ht="12.75" customHeight="1">
      <c r="B30" s="66">
        <v>2</v>
      </c>
      <c r="C30" s="64"/>
      <c r="D30" s="63" t="s">
        <v>117</v>
      </c>
      <c r="E30" s="62" t="s">
        <v>119</v>
      </c>
      <c r="F30" s="62"/>
      <c r="G30" s="62"/>
      <c r="H30" s="66">
        <v>0</v>
      </c>
      <c r="I30" s="65">
        <f t="shared" ref="I30:U30" si="3">IF(I12&lt;&gt;0,I12,H30*SUM(1,I$24))</f>
        <v>242.4</v>
      </c>
      <c r="J30" s="65">
        <f t="shared" si="3"/>
        <v>250</v>
      </c>
      <c r="K30" s="65">
        <f t="shared" si="3"/>
        <v>255.9</v>
      </c>
      <c r="L30" s="65">
        <f t="shared" si="3"/>
        <v>258.5</v>
      </c>
      <c r="M30" s="65">
        <f t="shared" si="3"/>
        <v>262.10000000000002</v>
      </c>
      <c r="N30" s="65">
        <f t="shared" si="3"/>
        <v>271.7</v>
      </c>
      <c r="O30" s="65">
        <f t="shared" si="3"/>
        <v>280.7</v>
      </c>
      <c r="P30" s="65">
        <f t="shared" si="3"/>
        <v>289.12099999999998</v>
      </c>
      <c r="Q30" s="65">
        <f t="shared" si="3"/>
        <v>297.79462999999998</v>
      </c>
      <c r="R30" s="65">
        <f t="shared" si="3"/>
        <v>306.7284689</v>
      </c>
      <c r="S30" s="65">
        <f t="shared" si="3"/>
        <v>315.930322967</v>
      </c>
      <c r="T30" s="65">
        <f t="shared" si="3"/>
        <v>325.40823265601</v>
      </c>
      <c r="U30" s="65">
        <f t="shared" si="3"/>
        <v>335.1704796356903</v>
      </c>
    </row>
    <row r="31" spans="2:22" ht="12.75" customHeight="1">
      <c r="B31" s="66">
        <v>3</v>
      </c>
      <c r="C31" s="64"/>
      <c r="D31" s="63" t="s">
        <v>117</v>
      </c>
      <c r="E31" s="62" t="s">
        <v>120</v>
      </c>
      <c r="F31" s="62"/>
      <c r="G31" s="62"/>
      <c r="H31" s="66">
        <v>0</v>
      </c>
      <c r="I31" s="65">
        <f t="shared" ref="I31:U31" si="4">IF(I13&lt;&gt;0,I13,H31*SUM(1,I$24))</f>
        <v>241.8</v>
      </c>
      <c r="J31" s="65">
        <f t="shared" si="4"/>
        <v>249.7</v>
      </c>
      <c r="K31" s="65">
        <f t="shared" si="4"/>
        <v>256.3</v>
      </c>
      <c r="L31" s="65">
        <f t="shared" si="4"/>
        <v>258.89999999999998</v>
      </c>
      <c r="M31" s="65">
        <f t="shared" si="4"/>
        <v>263.10000000000002</v>
      </c>
      <c r="N31" s="65">
        <f t="shared" si="4"/>
        <v>272.3</v>
      </c>
      <c r="O31" s="65">
        <f t="shared" si="4"/>
        <v>281.5</v>
      </c>
      <c r="P31" s="65">
        <f t="shared" si="4"/>
        <v>289.94499999999999</v>
      </c>
      <c r="Q31" s="65">
        <f t="shared" si="4"/>
        <v>298.64335</v>
      </c>
      <c r="R31" s="65">
        <f t="shared" si="4"/>
        <v>307.60265049999998</v>
      </c>
      <c r="S31" s="65">
        <f t="shared" si="4"/>
        <v>316.83073001499997</v>
      </c>
      <c r="T31" s="65">
        <f t="shared" si="4"/>
        <v>326.33565191545</v>
      </c>
      <c r="U31" s="65">
        <f t="shared" si="4"/>
        <v>336.12572147291348</v>
      </c>
    </row>
    <row r="32" spans="2:22" ht="12.75" customHeight="1">
      <c r="B32" s="66">
        <v>4</v>
      </c>
      <c r="C32" s="64"/>
      <c r="D32" s="63" t="s">
        <v>117</v>
      </c>
      <c r="E32" s="62" t="s">
        <v>121</v>
      </c>
      <c r="F32" s="62"/>
      <c r="G32" s="62"/>
      <c r="H32" s="66">
        <v>0</v>
      </c>
      <c r="I32" s="65">
        <f t="shared" ref="I32:U32" si="5">IF(I14&lt;&gt;0,I14,H32*SUM(1,I$24))</f>
        <v>242.1</v>
      </c>
      <c r="J32" s="65">
        <f t="shared" si="5"/>
        <v>249.7</v>
      </c>
      <c r="K32" s="65">
        <f t="shared" si="5"/>
        <v>256</v>
      </c>
      <c r="L32" s="65">
        <f t="shared" si="5"/>
        <v>258.60000000000002</v>
      </c>
      <c r="M32" s="65">
        <f t="shared" si="5"/>
        <v>263.39999999999998</v>
      </c>
      <c r="N32" s="65">
        <f t="shared" si="5"/>
        <v>272.89999999999998</v>
      </c>
      <c r="O32" s="65">
        <f t="shared" si="5"/>
        <v>281.7</v>
      </c>
      <c r="P32" s="65">
        <f t="shared" si="5"/>
        <v>290.15100000000001</v>
      </c>
      <c r="Q32" s="65">
        <f t="shared" si="5"/>
        <v>298.85553000000004</v>
      </c>
      <c r="R32" s="65">
        <f t="shared" si="5"/>
        <v>307.82119590000008</v>
      </c>
      <c r="S32" s="65">
        <f t="shared" si="5"/>
        <v>317.05583177700009</v>
      </c>
      <c r="T32" s="65">
        <f t="shared" si="5"/>
        <v>326.56750673031013</v>
      </c>
      <c r="U32" s="65">
        <f t="shared" si="5"/>
        <v>336.36453193221945</v>
      </c>
    </row>
    <row r="33" spans="2:22" ht="12.75" customHeight="1">
      <c r="B33" s="66">
        <v>5</v>
      </c>
      <c r="C33" s="64"/>
      <c r="D33" s="63" t="s">
        <v>117</v>
      </c>
      <c r="E33" s="62" t="s">
        <v>122</v>
      </c>
      <c r="F33" s="62"/>
      <c r="G33" s="62"/>
      <c r="H33" s="66">
        <v>0</v>
      </c>
      <c r="I33" s="65">
        <f t="shared" ref="I33:U33" si="6">IF(I15&lt;&gt;0,I15,H33*SUM(1,I$24))</f>
        <v>243</v>
      </c>
      <c r="J33" s="65">
        <f t="shared" si="6"/>
        <v>251</v>
      </c>
      <c r="K33" s="65">
        <f t="shared" si="6"/>
        <v>257</v>
      </c>
      <c r="L33" s="65">
        <f t="shared" si="6"/>
        <v>259.8</v>
      </c>
      <c r="M33" s="65">
        <f t="shared" si="6"/>
        <v>264.39999999999998</v>
      </c>
      <c r="N33" s="65">
        <f t="shared" si="6"/>
        <v>274.7</v>
      </c>
      <c r="O33" s="65">
        <f t="shared" si="6"/>
        <v>284.2</v>
      </c>
      <c r="P33" s="65">
        <f t="shared" si="6"/>
        <v>292.726</v>
      </c>
      <c r="Q33" s="65">
        <f t="shared" si="6"/>
        <v>301.50778000000003</v>
      </c>
      <c r="R33" s="65">
        <f t="shared" si="6"/>
        <v>310.55301340000005</v>
      </c>
      <c r="S33" s="65">
        <f t="shared" si="6"/>
        <v>319.86960380200009</v>
      </c>
      <c r="T33" s="65">
        <f t="shared" si="6"/>
        <v>329.46569191606011</v>
      </c>
      <c r="U33" s="65">
        <f t="shared" si="6"/>
        <v>339.3496626735419</v>
      </c>
    </row>
    <row r="34" spans="2:22" ht="12.75" customHeight="1">
      <c r="B34" s="66">
        <v>6</v>
      </c>
      <c r="C34" s="64"/>
      <c r="D34" s="63" t="s">
        <v>117</v>
      </c>
      <c r="E34" s="62" t="s">
        <v>123</v>
      </c>
      <c r="F34" s="62"/>
      <c r="G34" s="62"/>
      <c r="H34" s="66">
        <v>0</v>
      </c>
      <c r="I34" s="65">
        <f t="shared" ref="I34:U34" si="7">IF(I16&lt;&gt;0,I16,H34*SUM(1,I$24))</f>
        <v>244.2</v>
      </c>
      <c r="J34" s="65">
        <f t="shared" si="7"/>
        <v>251.9</v>
      </c>
      <c r="K34" s="65">
        <f t="shared" si="7"/>
        <v>257.60000000000002</v>
      </c>
      <c r="L34" s="65">
        <f t="shared" si="7"/>
        <v>259.60000000000002</v>
      </c>
      <c r="M34" s="65">
        <f t="shared" si="7"/>
        <v>264.89999999999998</v>
      </c>
      <c r="N34" s="65">
        <f t="shared" si="7"/>
        <v>275.10000000000002</v>
      </c>
      <c r="O34" s="65">
        <f t="shared" si="7"/>
        <v>284.10000000000002</v>
      </c>
      <c r="P34" s="65">
        <f t="shared" si="7"/>
        <v>292.62300000000005</v>
      </c>
      <c r="Q34" s="65">
        <f t="shared" si="7"/>
        <v>301.40169000000003</v>
      </c>
      <c r="R34" s="65">
        <f t="shared" si="7"/>
        <v>310.44374070000003</v>
      </c>
      <c r="S34" s="65">
        <f t="shared" si="7"/>
        <v>319.75705292100002</v>
      </c>
      <c r="T34" s="65">
        <f t="shared" si="7"/>
        <v>329.34976450863002</v>
      </c>
      <c r="U34" s="65">
        <f t="shared" si="7"/>
        <v>339.23025744388895</v>
      </c>
    </row>
    <row r="35" spans="2:22" ht="12.75" customHeight="1">
      <c r="B35" s="66">
        <v>7</v>
      </c>
      <c r="C35" s="64"/>
      <c r="D35" s="63" t="s">
        <v>117</v>
      </c>
      <c r="E35" s="62" t="s">
        <v>124</v>
      </c>
      <c r="F35" s="62"/>
      <c r="G35" s="62"/>
      <c r="H35" s="66">
        <v>0</v>
      </c>
      <c r="I35" s="65">
        <f t="shared" ref="I35:U35" si="8">IF(I17&lt;&gt;0,I17,H35*SUM(1,I$24))</f>
        <v>245.6</v>
      </c>
      <c r="J35" s="65">
        <f t="shared" si="8"/>
        <v>251.9</v>
      </c>
      <c r="K35" s="65">
        <f t="shared" si="8"/>
        <v>257.7</v>
      </c>
      <c r="L35" s="65">
        <f t="shared" si="8"/>
        <v>259.5</v>
      </c>
      <c r="M35" s="65">
        <f t="shared" si="8"/>
        <v>264.8</v>
      </c>
      <c r="N35" s="65">
        <f t="shared" si="8"/>
        <v>275.3</v>
      </c>
      <c r="O35" s="65">
        <f t="shared" si="8"/>
        <v>284.5</v>
      </c>
      <c r="P35" s="65">
        <f t="shared" si="8"/>
        <v>293.03500000000003</v>
      </c>
      <c r="Q35" s="65">
        <f t="shared" si="8"/>
        <v>301.82605000000001</v>
      </c>
      <c r="R35" s="65">
        <f t="shared" si="8"/>
        <v>310.8808315</v>
      </c>
      <c r="S35" s="65">
        <f t="shared" si="8"/>
        <v>320.20725644499998</v>
      </c>
      <c r="T35" s="65">
        <f t="shared" si="8"/>
        <v>329.81347413834999</v>
      </c>
      <c r="U35" s="65">
        <f t="shared" si="8"/>
        <v>339.70787836250048</v>
      </c>
    </row>
    <row r="36" spans="2:22" ht="12.75" customHeight="1">
      <c r="B36" s="66">
        <v>8</v>
      </c>
      <c r="C36" s="64"/>
      <c r="D36" s="63" t="s">
        <v>117</v>
      </c>
      <c r="E36" s="62" t="s">
        <v>125</v>
      </c>
      <c r="F36" s="62"/>
      <c r="G36" s="62"/>
      <c r="H36" s="67">
        <f>H18</f>
        <v>238.5</v>
      </c>
      <c r="I36" s="65">
        <f t="shared" ref="I36:U36" si="9">IF(I18&lt;&gt;0,I18,H36*SUM(1,I$24))</f>
        <v>245.6</v>
      </c>
      <c r="J36" s="65">
        <f t="shared" si="9"/>
        <v>252.1</v>
      </c>
      <c r="K36" s="65">
        <f t="shared" si="9"/>
        <v>257.10000000000002</v>
      </c>
      <c r="L36" s="65">
        <f t="shared" si="9"/>
        <v>259.8</v>
      </c>
      <c r="M36" s="126">
        <f t="shared" si="9"/>
        <v>265.5</v>
      </c>
      <c r="N36" s="65">
        <f t="shared" si="9"/>
        <v>275.8</v>
      </c>
      <c r="O36" s="65">
        <f t="shared" si="9"/>
        <v>284.60000000000002</v>
      </c>
      <c r="P36" s="65">
        <f t="shared" si="9"/>
        <v>293.13800000000003</v>
      </c>
      <c r="Q36" s="65">
        <f t="shared" si="9"/>
        <v>301.93214000000006</v>
      </c>
      <c r="R36" s="65">
        <f t="shared" si="9"/>
        <v>310.99010420000008</v>
      </c>
      <c r="S36" s="65">
        <f t="shared" si="9"/>
        <v>320.3198073260001</v>
      </c>
      <c r="T36" s="65">
        <f t="shared" si="9"/>
        <v>329.92940154578014</v>
      </c>
      <c r="U36" s="65">
        <f t="shared" si="9"/>
        <v>339.82728359215355</v>
      </c>
    </row>
    <row r="37" spans="2:22" ht="12.75" customHeight="1">
      <c r="B37" s="66">
        <v>9</v>
      </c>
      <c r="C37" s="64"/>
      <c r="D37" s="63" t="s">
        <v>117</v>
      </c>
      <c r="E37" s="62" t="s">
        <v>126</v>
      </c>
      <c r="F37" s="62"/>
      <c r="G37" s="62"/>
      <c r="H37" s="66">
        <v>0</v>
      </c>
      <c r="I37" s="65">
        <f t="shared" ref="I37:U37" si="10">IF(I19&lt;&gt;0,I19,H37*SUM(1,I$24))</f>
        <v>246.8</v>
      </c>
      <c r="J37" s="65">
        <f t="shared" si="10"/>
        <v>253.4</v>
      </c>
      <c r="K37" s="65">
        <f t="shared" si="10"/>
        <v>257.5</v>
      </c>
      <c r="L37" s="65">
        <f t="shared" si="10"/>
        <v>260.60000000000002</v>
      </c>
      <c r="M37" s="65">
        <f t="shared" si="10"/>
        <v>267.10000000000002</v>
      </c>
      <c r="N37" s="65">
        <f t="shared" si="10"/>
        <v>278.10000000000002</v>
      </c>
      <c r="O37" s="65">
        <f t="shared" si="10"/>
        <v>285.60000000000002</v>
      </c>
      <c r="P37" s="65">
        <f t="shared" si="10"/>
        <v>294.16800000000001</v>
      </c>
      <c r="Q37" s="65">
        <f t="shared" si="10"/>
        <v>302.99304000000001</v>
      </c>
      <c r="R37" s="65">
        <f t="shared" si="10"/>
        <v>312.08283120000004</v>
      </c>
      <c r="S37" s="65">
        <f t="shared" si="10"/>
        <v>321.44531613600003</v>
      </c>
      <c r="T37" s="65">
        <f t="shared" si="10"/>
        <v>331.08867562008004</v>
      </c>
      <c r="U37" s="65">
        <f t="shared" si="10"/>
        <v>341.02133588868247</v>
      </c>
    </row>
    <row r="38" spans="2:22" ht="12.75" customHeight="1">
      <c r="B38" s="66">
        <v>10</v>
      </c>
      <c r="C38" s="64"/>
      <c r="D38" s="63" t="s">
        <v>117</v>
      </c>
      <c r="E38" s="62" t="s">
        <v>127</v>
      </c>
      <c r="F38" s="62"/>
      <c r="G38" s="62"/>
      <c r="H38" s="66">
        <v>0</v>
      </c>
      <c r="I38" s="65">
        <f t="shared" ref="I38:U38" si="11">IF(I20&lt;&gt;0,I20,H38*SUM(1,I$24))</f>
        <v>245.8</v>
      </c>
      <c r="J38" s="65">
        <f t="shared" si="11"/>
        <v>252.6</v>
      </c>
      <c r="K38" s="65">
        <f t="shared" si="11"/>
        <v>255.4</v>
      </c>
      <c r="L38" s="65">
        <f t="shared" si="11"/>
        <v>258.8</v>
      </c>
      <c r="M38" s="65">
        <f t="shared" si="11"/>
        <v>265.5</v>
      </c>
      <c r="N38" s="65">
        <f t="shared" si="11"/>
        <v>276</v>
      </c>
      <c r="O38" s="65">
        <f t="shared" si="11"/>
        <v>283</v>
      </c>
      <c r="P38" s="65">
        <f t="shared" si="11"/>
        <v>291.49</v>
      </c>
      <c r="Q38" s="65">
        <f t="shared" si="11"/>
        <v>300.23470000000003</v>
      </c>
      <c r="R38" s="65">
        <f t="shared" si="11"/>
        <v>309.24174100000005</v>
      </c>
      <c r="S38" s="65">
        <f t="shared" si="11"/>
        <v>318.51899323000004</v>
      </c>
      <c r="T38" s="65">
        <f t="shared" si="11"/>
        <v>328.07456302690002</v>
      </c>
      <c r="U38" s="65">
        <f t="shared" si="11"/>
        <v>337.91679991770701</v>
      </c>
    </row>
    <row r="39" spans="2:22" ht="12.75" customHeight="1">
      <c r="B39" s="66">
        <v>11</v>
      </c>
      <c r="C39" s="64"/>
      <c r="D39" s="63" t="s">
        <v>117</v>
      </c>
      <c r="E39" s="62" t="s">
        <v>128</v>
      </c>
      <c r="F39" s="62"/>
      <c r="G39" s="62"/>
      <c r="H39" s="66">
        <v>0</v>
      </c>
      <c r="I39" s="65">
        <f t="shared" ref="I39:U39" si="12">IF(I21&lt;&gt;0,I21,H39*SUM(1,I$24))</f>
        <v>247.6</v>
      </c>
      <c r="J39" s="65">
        <f t="shared" si="12"/>
        <v>254.2</v>
      </c>
      <c r="K39" s="65">
        <f t="shared" si="12"/>
        <v>256.7</v>
      </c>
      <c r="L39" s="65">
        <f t="shared" si="12"/>
        <v>260</v>
      </c>
      <c r="M39" s="65">
        <f t="shared" si="12"/>
        <v>268.39999999999998</v>
      </c>
      <c r="N39" s="65">
        <f t="shared" si="12"/>
        <v>278.10000000000002</v>
      </c>
      <c r="O39" s="65">
        <f t="shared" si="12"/>
        <v>285</v>
      </c>
      <c r="P39" s="65">
        <f t="shared" si="12"/>
        <v>293.55</v>
      </c>
      <c r="Q39" s="65">
        <f t="shared" si="12"/>
        <v>302.35650000000004</v>
      </c>
      <c r="R39" s="65">
        <f t="shared" si="12"/>
        <v>311.42719500000004</v>
      </c>
      <c r="S39" s="65">
        <f t="shared" si="12"/>
        <v>320.77001085000006</v>
      </c>
      <c r="T39" s="65">
        <f t="shared" si="12"/>
        <v>330.39311117550005</v>
      </c>
      <c r="U39" s="65">
        <f t="shared" si="12"/>
        <v>340.30490451076508</v>
      </c>
    </row>
    <row r="40" spans="2:22" ht="12.75" customHeight="1">
      <c r="B40" s="66">
        <v>12</v>
      </c>
      <c r="C40" s="64"/>
      <c r="D40" s="63" t="s">
        <v>117</v>
      </c>
      <c r="E40" s="62" t="s">
        <v>129</v>
      </c>
      <c r="F40" s="62"/>
      <c r="G40" s="62"/>
      <c r="H40" s="66">
        <v>0</v>
      </c>
      <c r="I40" s="65">
        <f t="shared" ref="I40:U40" si="13">IF(I22&lt;&gt;0,I22,H40*SUM(1,I$24))</f>
        <v>248.7</v>
      </c>
      <c r="J40" s="65">
        <f t="shared" si="13"/>
        <v>254.8</v>
      </c>
      <c r="K40" s="65">
        <f t="shared" si="13"/>
        <v>257.10000000000002</v>
      </c>
      <c r="L40" s="65">
        <f t="shared" si="13"/>
        <v>261.10000000000002</v>
      </c>
      <c r="M40" s="65">
        <f t="shared" si="13"/>
        <v>269.3</v>
      </c>
      <c r="N40" s="65">
        <f t="shared" si="13"/>
        <v>278.3</v>
      </c>
      <c r="O40" s="65">
        <f t="shared" si="13"/>
        <v>285.10000000000002</v>
      </c>
      <c r="P40" s="65">
        <f t="shared" si="13"/>
        <v>293.65300000000002</v>
      </c>
      <c r="Q40" s="65">
        <f t="shared" si="13"/>
        <v>302.46259000000003</v>
      </c>
      <c r="R40" s="65">
        <f t="shared" si="13"/>
        <v>311.53646770000006</v>
      </c>
      <c r="S40" s="65">
        <f t="shared" si="13"/>
        <v>320.88256173100007</v>
      </c>
      <c r="T40" s="65">
        <f t="shared" si="13"/>
        <v>330.50903858293009</v>
      </c>
      <c r="U40" s="65">
        <f t="shared" si="13"/>
        <v>340.42430974041798</v>
      </c>
    </row>
    <row r="41" spans="2:22" ht="12.75" customHeight="1">
      <c r="B41" s="64"/>
      <c r="C41" s="64"/>
      <c r="D41" s="63" t="s">
        <v>117</v>
      </c>
      <c r="E41" s="62" t="s">
        <v>134</v>
      </c>
      <c r="F41" s="62"/>
      <c r="G41" s="62"/>
      <c r="I41" s="61">
        <f t="shared" ref="I41:U41" si="14">IF(SUM(I29:I40)=0,0,AVERAGE(I29:I40))</f>
        <v>244.67499999999998</v>
      </c>
      <c r="J41" s="60">
        <f t="shared" si="14"/>
        <v>251.73333333333335</v>
      </c>
      <c r="K41" s="60">
        <f t="shared" si="14"/>
        <v>256.66666666666669</v>
      </c>
      <c r="L41" s="61">
        <f t="shared" si="14"/>
        <v>259.43333333333334</v>
      </c>
      <c r="M41" s="60">
        <f t="shared" si="14"/>
        <v>264.99166666666673</v>
      </c>
      <c r="N41" s="60">
        <f t="shared" si="14"/>
        <v>274.90833333333336</v>
      </c>
      <c r="O41" s="60">
        <f t="shared" si="14"/>
        <v>283.30833333333334</v>
      </c>
      <c r="P41" s="60">
        <f t="shared" si="14"/>
        <v>291.80758333333341</v>
      </c>
      <c r="Q41" s="60">
        <f t="shared" si="14"/>
        <v>300.56181083333337</v>
      </c>
      <c r="R41" s="60">
        <f t="shared" si="14"/>
        <v>309.57866515833337</v>
      </c>
      <c r="S41" s="60">
        <f t="shared" si="14"/>
        <v>318.86602511308331</v>
      </c>
      <c r="T41" s="60">
        <f t="shared" si="14"/>
        <v>328.43200586647589</v>
      </c>
      <c r="U41" s="60">
        <f t="shared" si="14"/>
        <v>338.28496604247016</v>
      </c>
    </row>
    <row r="42" spans="2:22" s="49" customFormat="1" ht="12.75" customHeight="1">
      <c r="B42" s="53"/>
      <c r="V42" s="50"/>
    </row>
    <row r="43" spans="2:22" s="49" customFormat="1" ht="12.75" customHeight="1">
      <c r="E43" s="59"/>
      <c r="F43" s="59"/>
      <c r="G43" s="59"/>
      <c r="V43" s="50"/>
    </row>
    <row r="44" spans="2:22" s="49" customFormat="1" ht="12.75" customHeight="1">
      <c r="B44" s="53"/>
      <c r="D44" s="52"/>
      <c r="E44" s="57"/>
      <c r="F44" s="57"/>
      <c r="G44" s="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50"/>
    </row>
    <row r="45" spans="2:22" s="49" customFormat="1" ht="12.75" customHeight="1">
      <c r="B45" s="53"/>
      <c r="C45" s="55"/>
      <c r="D45" s="52"/>
      <c r="E45" s="54"/>
      <c r="F45" s="54"/>
      <c r="G45" s="54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0"/>
    </row>
    <row r="46" spans="2:22" s="49" customFormat="1" ht="12.75" customHeight="1">
      <c r="B46" s="53"/>
      <c r="C46" s="55"/>
      <c r="D46" s="52"/>
      <c r="E46" s="54"/>
      <c r="F46" s="54"/>
      <c r="G46" s="54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0"/>
    </row>
    <row r="47" spans="2:22" s="49" customFormat="1" ht="12.75" customHeight="1">
      <c r="B47" s="53"/>
      <c r="E47" s="59" t="s">
        <v>138</v>
      </c>
      <c r="F47" s="58"/>
      <c r="G47" s="58"/>
    </row>
    <row r="48" spans="2:22" s="49" customFormat="1" ht="12.75" customHeight="1">
      <c r="B48" s="53"/>
      <c r="D48" s="52" t="s">
        <v>135</v>
      </c>
      <c r="E48" s="57" t="s">
        <v>136</v>
      </c>
      <c r="F48" s="57"/>
      <c r="G48" s="57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0" t="s">
        <v>139</v>
      </c>
    </row>
    <row r="49" spans="1:22" s="49" customFormat="1" ht="12.75" customHeight="1">
      <c r="B49" s="53"/>
      <c r="D49" s="52" t="s">
        <v>130</v>
      </c>
      <c r="E49" s="54" t="s">
        <v>137</v>
      </c>
      <c r="F49" s="57"/>
      <c r="G49" s="57"/>
      <c r="I49" s="51">
        <f t="shared" ref="I49:U49" si="15">IF(Indexation.November.Actual.Override&lt;&gt;"",Indexation.November.Actual.Override,IF($H$36=0,0,H36/$H$36))</f>
        <v>1</v>
      </c>
      <c r="J49" s="51">
        <f t="shared" si="15"/>
        <v>1.0297693920335429</v>
      </c>
      <c r="K49" s="51">
        <f t="shared" si="15"/>
        <v>1.0570230607966458</v>
      </c>
      <c r="L49" s="51">
        <f t="shared" si="15"/>
        <v>1.077987421383648</v>
      </c>
      <c r="M49" s="51">
        <f t="shared" si="15"/>
        <v>1.0893081761006289</v>
      </c>
      <c r="N49" s="51">
        <f t="shared" si="15"/>
        <v>1.1132075471698113</v>
      </c>
      <c r="O49" s="51">
        <f t="shared" si="15"/>
        <v>1.1563941299790357</v>
      </c>
      <c r="P49" s="51">
        <f t="shared" si="15"/>
        <v>1.1932914046121594</v>
      </c>
      <c r="Q49" s="51">
        <f t="shared" si="15"/>
        <v>1.2290901467505242</v>
      </c>
      <c r="R49" s="51">
        <f t="shared" si="15"/>
        <v>1.2659628511530401</v>
      </c>
      <c r="S49" s="51">
        <f t="shared" si="15"/>
        <v>1.3039417366876314</v>
      </c>
      <c r="T49" s="51">
        <f t="shared" si="15"/>
        <v>1.3430599887882604</v>
      </c>
      <c r="U49" s="51">
        <f t="shared" si="15"/>
        <v>1.3833517884519084</v>
      </c>
      <c r="V49" s="50" t="s">
        <v>140</v>
      </c>
    </row>
    <row r="50" spans="1:22" s="101" customFormat="1" ht="12.75" customHeight="1">
      <c r="A50" s="49"/>
      <c r="B50" s="53"/>
      <c r="C50" s="55"/>
      <c r="D50" s="52"/>
      <c r="E50" s="54"/>
      <c r="F50" s="54"/>
      <c r="G50" s="54"/>
      <c r="H50" s="4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0"/>
    </row>
    <row r="51" spans="1:22" s="101" customFormat="1" ht="12.75" customHeight="1">
      <c r="A51" s="49"/>
      <c r="B51" s="53"/>
      <c r="C51" s="49"/>
      <c r="D51" s="52" t="s">
        <v>130</v>
      </c>
      <c r="E51" s="59" t="s">
        <v>141</v>
      </c>
      <c r="F51" s="54"/>
      <c r="G51" s="54"/>
      <c r="H51" s="49"/>
      <c r="I51" s="51"/>
      <c r="J51" s="51">
        <f t="shared" ref="J51:U51" si="16">IF(Indexation.November.Actual.Override&lt;&gt;"",IF(I48=0,0,J48/I48),IF(H36=0,0,I36/H36))</f>
        <v>1.0297693920335429</v>
      </c>
      <c r="K51" s="51">
        <f t="shared" si="16"/>
        <v>1.0264657980456027</v>
      </c>
      <c r="L51" s="51">
        <f t="shared" si="16"/>
        <v>1.0198333994446649</v>
      </c>
      <c r="M51" s="51">
        <f t="shared" si="16"/>
        <v>1.0105017502917153</v>
      </c>
      <c r="N51" s="51">
        <f t="shared" si="16"/>
        <v>1.0219399538106235</v>
      </c>
      <c r="O51" s="51">
        <f t="shared" si="16"/>
        <v>1.0387947269303202</v>
      </c>
      <c r="P51" s="51">
        <f t="shared" si="16"/>
        <v>1.0319071791153009</v>
      </c>
      <c r="Q51" s="51">
        <f t="shared" si="16"/>
        <v>1.03</v>
      </c>
      <c r="R51" s="51">
        <f t="shared" si="16"/>
        <v>1.03</v>
      </c>
      <c r="S51" s="51">
        <f t="shared" si="16"/>
        <v>1.03</v>
      </c>
      <c r="T51" s="51">
        <f t="shared" si="16"/>
        <v>1.03</v>
      </c>
      <c r="U51" s="51">
        <f t="shared" si="16"/>
        <v>1.03</v>
      </c>
      <c r="V51" s="50" t="s">
        <v>142</v>
      </c>
    </row>
    <row r="52" spans="1:22" ht="12.75" customHeight="1">
      <c r="A52" s="49"/>
      <c r="B52" s="53"/>
      <c r="C52" s="55"/>
      <c r="D52" s="52"/>
      <c r="E52" s="54"/>
      <c r="F52" s="54"/>
      <c r="G52" s="54"/>
      <c r="H52" s="49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0"/>
    </row>
    <row r="53" spans="1:22" s="101" customFormat="1" ht="12.75" customHeight="1">
      <c r="A53" s="49"/>
      <c r="B53" s="53"/>
      <c r="C53" s="55"/>
      <c r="D53" s="52"/>
      <c r="E53" s="54"/>
      <c r="F53" s="54"/>
      <c r="G53" s="54"/>
      <c r="H53" s="49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0"/>
    </row>
    <row r="54" spans="1:22" s="49" customFormat="1" ht="12.75" customHeight="1">
      <c r="B54" s="53"/>
      <c r="E54" s="58"/>
      <c r="F54" s="58"/>
      <c r="G54" s="58"/>
    </row>
    <row r="55" spans="1:22" s="49" customFormat="1" ht="12.75" customHeight="1">
      <c r="B55" s="53"/>
      <c r="D55" s="52"/>
      <c r="E55" s="57"/>
      <c r="F55" s="57"/>
      <c r="G55" s="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50"/>
    </row>
    <row r="56" spans="1:22" s="49" customFormat="1" ht="12.75" customHeight="1">
      <c r="B56" s="53"/>
      <c r="C56" s="55"/>
      <c r="D56" s="52"/>
      <c r="E56" s="54"/>
      <c r="F56" s="54"/>
      <c r="G56" s="54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0"/>
    </row>
    <row r="57" spans="1:22" s="49" customFormat="1" ht="12.75" customHeight="1">
      <c r="B57" s="53"/>
      <c r="C57" s="55"/>
      <c r="D57" s="52"/>
      <c r="E57" s="54"/>
      <c r="F57" s="54"/>
      <c r="G57" s="54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0"/>
    </row>
    <row r="58" spans="1:22" s="49" customFormat="1" ht="12.75" customHeight="1">
      <c r="B58" s="53"/>
      <c r="C58" s="158"/>
      <c r="D58" s="52"/>
      <c r="E58" s="159"/>
      <c r="F58" s="159"/>
      <c r="G58" s="159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0"/>
    </row>
    <row r="59" spans="1:22" s="101" customFormat="1" ht="12.75" customHeight="1" thickBot="1">
      <c r="V59" s="160"/>
    </row>
    <row r="60" spans="1:22" ht="12.75" customHeight="1" thickBot="1">
      <c r="A60" s="48" t="s">
        <v>111</v>
      </c>
      <c r="B60" s="46"/>
      <c r="C60" s="46"/>
      <c r="D60" s="46"/>
      <c r="E60" s="47"/>
      <c r="F60" s="47"/>
      <c r="G60" s="47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5"/>
    </row>
    <row r="61" spans="1:22" ht="12.75" customHeight="1">
      <c r="I61" s="101"/>
    </row>
    <row r="62" spans="1:22" ht="12.75" hidden="1" customHeight="1">
      <c r="J62" s="101"/>
      <c r="L62" s="101"/>
    </row>
    <row r="63" spans="1:22" ht="12.75" hidden="1" customHeight="1"/>
    <row r="64" spans="1:22" ht="12.75" hidden="1" customHeight="1"/>
    <row r="65" ht="12.75" hidden="1" customHeight="1"/>
  </sheetData>
  <dataConsolidate/>
  <conditionalFormatting sqref="I26:U26">
    <cfRule type="cellIs" dxfId="5" priority="1" stopIfTrue="1" operator="equal">
      <formula>0</formula>
    </cfRule>
    <cfRule type="cellIs" dxfId="4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6" customWidth="1"/>
    <col min="3" max="3" width="8" style="36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5"/>
    </row>
    <row r="2" spans="1:24" ht="15">
      <c r="A2" s="37"/>
      <c r="B2" s="37"/>
      <c r="C2" s="37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7"/>
      <c r="B3" s="37"/>
      <c r="C3" s="37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7"/>
      <c r="B4" s="37"/>
      <c r="C4" s="37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7"/>
      <c r="B5" s="37"/>
      <c r="C5" s="37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7"/>
      <c r="B6" s="37"/>
      <c r="C6" s="37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7"/>
      <c r="B7" s="37"/>
      <c r="C7" s="37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7"/>
      <c r="B8" s="37"/>
      <c r="C8" s="37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7"/>
      <c r="B9" s="37"/>
      <c r="C9" s="37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7"/>
      <c r="B10" s="37"/>
      <c r="C10" s="37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7"/>
      <c r="B11" s="37"/>
      <c r="C11" s="37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7"/>
      <c r="B12" s="37"/>
      <c r="C12" s="37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7"/>
      <c r="B13" s="37"/>
      <c r="C13" s="37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7"/>
      <c r="B14" s="37"/>
      <c r="C14" s="37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7"/>
      <c r="B15" s="37"/>
      <c r="C15" s="37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W182"/>
  <sheetViews>
    <sheetView showGridLines="0" tabSelected="1" zoomScale="80" zoomScaleNormal="80" workbookViewId="0">
      <pane xSplit="8" ySplit="7" topLeftCell="I8" activePane="bottomRight" state="frozen"/>
      <selection activeCell="E25" sqref="E25"/>
      <selection pane="topRight" activeCell="E25" sqref="E25"/>
      <selection pane="bottomLeft" activeCell="E25" sqref="E25"/>
      <selection pane="bottomRight" activeCell="I8" sqref="I8"/>
    </sheetView>
  </sheetViews>
  <sheetFormatPr defaultColWidth="0" defaultRowHeight="12.75" zeroHeight="1"/>
  <cols>
    <col min="1" max="3" width="2.7109375" customWidth="1"/>
    <col min="4" max="4" width="9.140625" customWidth="1"/>
    <col min="5" max="5" width="68.85546875" customWidth="1"/>
    <col min="6" max="6" width="15.7109375" style="41" customWidth="1"/>
    <col min="7" max="7" width="7.85546875" customWidth="1"/>
    <col min="8" max="8" width="11.85546875" customWidth="1"/>
    <col min="9" max="21" width="10.5703125" customWidth="1"/>
    <col min="22" max="22" width="26.28515625" customWidth="1"/>
    <col min="23" max="23" width="9.140625" customWidth="1"/>
    <col min="24" max="28" width="0" hidden="1" customWidth="1"/>
  </cols>
  <sheetData>
    <row r="1" spans="1:23" s="2" customFormat="1" ht="33.75">
      <c r="A1" s="28"/>
      <c r="B1" s="28"/>
      <c r="C1" s="28"/>
      <c r="D1" s="28" t="s">
        <v>143</v>
      </c>
      <c r="E1" s="28"/>
      <c r="F1" s="1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39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39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29">
        <v>1</v>
      </c>
      <c r="B4" s="16"/>
      <c r="C4" s="16"/>
      <c r="D4" s="16"/>
      <c r="E4" s="16"/>
      <c r="F4" s="39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39"/>
      <c r="G5" s="16"/>
      <c r="H5" s="16"/>
      <c r="I5" s="14">
        <f t="shared" ref="I5:U5" si="1">Calendar.Years</f>
        <v>2012</v>
      </c>
      <c r="J5" s="14">
        <f t="shared" si="1"/>
        <v>2013</v>
      </c>
      <c r="K5" s="33">
        <f t="shared" si="1"/>
        <v>2014</v>
      </c>
      <c r="L5" s="14">
        <f t="shared" si="1"/>
        <v>2015</v>
      </c>
      <c r="M5" s="33">
        <f t="shared" si="1"/>
        <v>2016</v>
      </c>
      <c r="N5" s="14">
        <f t="shared" si="1"/>
        <v>2017</v>
      </c>
      <c r="O5" s="33">
        <f t="shared" si="1"/>
        <v>2018</v>
      </c>
      <c r="P5" s="33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39"/>
      <c r="G6" s="16"/>
      <c r="H6" s="16"/>
      <c r="I6" s="16"/>
      <c r="J6" s="16"/>
      <c r="K6" s="6"/>
      <c r="L6" s="129">
        <v>1</v>
      </c>
      <c r="M6" s="129">
        <v>2</v>
      </c>
      <c r="N6" s="129">
        <v>3</v>
      </c>
      <c r="O6" s="129">
        <v>4</v>
      </c>
      <c r="P6" s="129">
        <v>5</v>
      </c>
      <c r="Q6" s="129">
        <v>6</v>
      </c>
      <c r="R6" s="129">
        <v>7</v>
      </c>
      <c r="S6" s="129">
        <v>8</v>
      </c>
      <c r="T6" s="129">
        <v>9</v>
      </c>
      <c r="U6" s="129">
        <v>10</v>
      </c>
      <c r="V6" s="16"/>
      <c r="W6" s="16"/>
    </row>
    <row r="7" spans="1:23"/>
    <row r="8" spans="1:23" s="7" customFormat="1" ht="15">
      <c r="A8" s="130"/>
      <c r="B8" s="8"/>
      <c r="C8" s="8"/>
      <c r="D8" s="134"/>
      <c r="E8" s="131" t="s">
        <v>144</v>
      </c>
      <c r="F8" s="132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3" customFormat="1">
      <c r="A9" s="16"/>
      <c r="B9" s="16"/>
      <c r="C9" s="16"/>
      <c r="D9" s="17"/>
      <c r="E9" s="16"/>
      <c r="F9" s="39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39" t="s">
        <v>145</v>
      </c>
      <c r="F10" s="39"/>
      <c r="G10" s="16"/>
      <c r="H10" s="16"/>
      <c r="I10" s="16"/>
      <c r="J10" s="16"/>
      <c r="K10" s="136"/>
      <c r="L10" s="124"/>
      <c r="M10" s="124"/>
      <c r="N10" s="124"/>
      <c r="O10" s="124"/>
      <c r="P10" s="124"/>
      <c r="Q10" s="124"/>
      <c r="R10" s="124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39"/>
      <c r="G11" s="16"/>
      <c r="H11" s="16"/>
      <c r="I11" s="16"/>
      <c r="J11" s="16"/>
      <c r="K11" s="16"/>
      <c r="L11" s="16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39"/>
      <c r="G12" s="16"/>
      <c r="H12" s="16"/>
      <c r="I12" s="16"/>
      <c r="J12" s="16"/>
      <c r="K12" s="31"/>
      <c r="L12" s="31">
        <f>K.Water</f>
        <v>0</v>
      </c>
      <c r="M12" s="31">
        <f>K.Water</f>
        <v>1.34</v>
      </c>
      <c r="N12" s="31">
        <f>K.Water</f>
        <v>1.05</v>
      </c>
      <c r="O12" s="31">
        <f>K.Water</f>
        <v>1.1900000000000002</v>
      </c>
      <c r="P12" s="31">
        <f>K.Water</f>
        <v>1.1599999999999999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39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1.0501750291715295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3.1907179115300943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39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1.0239017502917154</v>
      </c>
      <c r="N14" s="31">
        <f t="shared" ref="N14:P14" si="2">1+(N13+N12)/100</f>
        <v>1.0324399538106235</v>
      </c>
      <c r="O14" s="31">
        <f t="shared" si="2"/>
        <v>1.0506947269303202</v>
      </c>
      <c r="P14" s="31">
        <f t="shared" si="2"/>
        <v>1.043507179115301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39" t="s">
        <v>96</v>
      </c>
      <c r="G15" s="16"/>
      <c r="H15" s="16"/>
      <c r="I15" s="136"/>
      <c r="J15" s="136"/>
      <c r="K15" s="31">
        <f>AllRev.Water</f>
        <v>434.346</v>
      </c>
      <c r="L15" s="31">
        <f>K15*L14</f>
        <v>442.96055771519241</v>
      </c>
      <c r="M15" s="31">
        <f>L15*M14</f>
        <v>453.5480903547799</v>
      </c>
      <c r="N15" s="31">
        <f t="shared" ref="N15:P15" si="3">M15*N14</f>
        <v>468.26116945678547</v>
      </c>
      <c r="O15" s="31">
        <f t="shared" si="3"/>
        <v>491.99954157446962</v>
      </c>
      <c r="P15" s="31">
        <f t="shared" si="3"/>
        <v>513.40505375439602</v>
      </c>
      <c r="Q15" s="124"/>
      <c r="R15" s="124"/>
      <c r="S15" s="124"/>
      <c r="T15" s="124"/>
      <c r="U15" s="124"/>
      <c r="V15" s="13" t="s">
        <v>150</v>
      </c>
      <c r="W15" s="16"/>
    </row>
    <row r="16" spans="1:23" s="10" customFormat="1">
      <c r="A16" s="16"/>
      <c r="B16" s="16"/>
      <c r="C16" s="16"/>
      <c r="D16" s="17"/>
      <c r="E16" s="16"/>
      <c r="F16" s="39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A17" s="16"/>
      <c r="B17" s="16"/>
      <c r="C17" s="16"/>
      <c r="D17" s="17"/>
      <c r="E17" s="39" t="s">
        <v>151</v>
      </c>
      <c r="F17" s="39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  <c r="W17" s="16"/>
    </row>
    <row r="18" spans="1:23" s="10" customFormat="1">
      <c r="A18" s="16"/>
      <c r="B18" s="16"/>
      <c r="C18" s="16"/>
      <c r="D18" s="17"/>
      <c r="E18" s="9" t="s">
        <v>152</v>
      </c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  <c r="W18" s="16"/>
    </row>
    <row r="19" spans="1:23" s="10" customFormat="1">
      <c r="A19" s="16"/>
      <c r="B19" s="16"/>
      <c r="C19" s="16"/>
      <c r="D19" s="17" t="s">
        <v>81</v>
      </c>
      <c r="E19" s="18" t="s">
        <v>153</v>
      </c>
      <c r="F19" s="39" t="s">
        <v>103</v>
      </c>
      <c r="G19" s="16"/>
      <c r="H19" s="16"/>
      <c r="I19" s="16"/>
      <c r="J19" s="16"/>
      <c r="K19" s="31">
        <f>BlindYear.1415.Adj.Water</f>
        <v>-0.77229218894321505</v>
      </c>
      <c r="L19" s="13" t="s">
        <v>154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  <c r="W19" s="16"/>
    </row>
    <row r="20" spans="1:23" s="10" customFormat="1">
      <c r="A20" s="16"/>
      <c r="B20" s="16"/>
      <c r="C20" s="16"/>
      <c r="D20" s="142" t="s">
        <v>81</v>
      </c>
      <c r="E20" s="144" t="s">
        <v>155</v>
      </c>
      <c r="F20" s="145" t="s">
        <v>103</v>
      </c>
      <c r="G20" s="136"/>
      <c r="H20" s="136"/>
      <c r="I20" s="136"/>
      <c r="J20" s="136"/>
      <c r="K20" s="31">
        <f>AMP5.RCM.Adj.Water</f>
        <v>-0.77229218894321505</v>
      </c>
      <c r="L20" s="31">
        <f>K20*(1+Discount.Rate)</f>
        <v>-0.80009470774517077</v>
      </c>
      <c r="M20" s="31">
        <f>L20*(1+Discount.Rate)</f>
        <v>-0.82889811722399698</v>
      </c>
      <c r="N20" s="31">
        <f>M20*(1+Discount.Rate)</f>
        <v>-0.85873844944406086</v>
      </c>
      <c r="O20" s="31">
        <f>N20*(1+Discount.Rate)</f>
        <v>-0.88965303362404713</v>
      </c>
      <c r="P20" s="31">
        <f>O20*(1+Discount.Rate)</f>
        <v>-0.92168054283451284</v>
      </c>
      <c r="Q20" s="16"/>
      <c r="R20" s="16"/>
      <c r="S20" s="32"/>
      <c r="T20" s="32"/>
      <c r="U20" s="32"/>
      <c r="V20" s="16"/>
      <c r="W20" s="16"/>
    </row>
    <row r="21" spans="1:23" s="10" customFormat="1">
      <c r="A21" s="16"/>
      <c r="B21" s="16"/>
      <c r="C21" s="16"/>
      <c r="D21" s="142" t="s">
        <v>135</v>
      </c>
      <c r="E21" s="144" t="str">
        <f>Data!E44</f>
        <v>Percentage of blind year adjustment by year - water</v>
      </c>
      <c r="F21" s="145" t="s">
        <v>156</v>
      </c>
      <c r="G21" s="136"/>
      <c r="H21" s="136"/>
      <c r="I21" s="136"/>
      <c r="J21" s="136"/>
      <c r="K21" s="26"/>
      <c r="L21" s="26"/>
      <c r="M21" s="26"/>
      <c r="N21" s="148">
        <f>Data!N44</f>
        <v>1</v>
      </c>
      <c r="O21" s="148">
        <f>Data!O44</f>
        <v>0</v>
      </c>
      <c r="P21" s="148">
        <f>Data!P44</f>
        <v>0</v>
      </c>
      <c r="Q21" s="16"/>
      <c r="R21" s="16"/>
      <c r="S21" s="32"/>
      <c r="T21" s="32"/>
      <c r="U21" s="32"/>
      <c r="V21" s="16"/>
      <c r="W21" s="16"/>
    </row>
    <row r="22" spans="1:23" s="10" customFormat="1">
      <c r="A22" s="16"/>
      <c r="B22" s="16"/>
      <c r="C22" s="16"/>
      <c r="D22" s="17" t="s">
        <v>81</v>
      </c>
      <c r="E22" s="18" t="s">
        <v>157</v>
      </c>
      <c r="F22" s="39" t="s">
        <v>103</v>
      </c>
      <c r="G22" s="16"/>
      <c r="H22" s="16"/>
      <c r="I22" s="16"/>
      <c r="J22" s="16"/>
      <c r="K22" s="26"/>
      <c r="L22" s="26"/>
      <c r="M22" s="26"/>
      <c r="N22" s="31">
        <f>N20*N21</f>
        <v>-0.85873844944406086</v>
      </c>
      <c r="O22" s="31">
        <f t="shared" ref="O22:P22" si="4">O20*O21</f>
        <v>0</v>
      </c>
      <c r="P22" s="31">
        <f t="shared" si="4"/>
        <v>0</v>
      </c>
      <c r="Q22" s="137"/>
      <c r="R22" s="137"/>
      <c r="S22" s="32"/>
      <c r="T22" s="32"/>
      <c r="U22" s="32"/>
      <c r="V22" s="16"/>
      <c r="W22" s="16"/>
    </row>
    <row r="23" spans="1:23" s="10" customFormat="1">
      <c r="A23" s="16"/>
      <c r="B23" s="16"/>
      <c r="C23" s="16"/>
      <c r="D23" s="17" t="s">
        <v>81</v>
      </c>
      <c r="E23" s="18" t="s">
        <v>158</v>
      </c>
      <c r="F23" s="39" t="s">
        <v>96</v>
      </c>
      <c r="G23" s="16"/>
      <c r="H23" s="16"/>
      <c r="I23" s="16"/>
      <c r="J23" s="16"/>
      <c r="K23" s="26"/>
      <c r="L23" s="112"/>
      <c r="M23" s="26"/>
      <c r="N23" s="31">
        <f>N22*Indexation.November.Actual</f>
        <v>-0.95595412296603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4"/>
      <c r="T23" s="124"/>
      <c r="U23" s="124"/>
      <c r="V23" s="13" t="s">
        <v>159</v>
      </c>
      <c r="W23" s="16"/>
    </row>
    <row r="24" spans="1:23" s="10" customFormat="1">
      <c r="A24" s="16"/>
      <c r="B24" s="16"/>
      <c r="C24" s="16"/>
      <c r="D24" s="17"/>
      <c r="E24" s="18"/>
      <c r="F24" s="39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4"/>
      <c r="T24" s="124"/>
      <c r="U24" s="124"/>
      <c r="V24" s="13"/>
      <c r="W24" s="16"/>
    </row>
    <row r="25" spans="1:23" s="10" customFormat="1">
      <c r="A25" s="16"/>
      <c r="B25" s="16"/>
      <c r="C25" s="16"/>
      <c r="D25" s="17" t="s">
        <v>135</v>
      </c>
      <c r="E25" s="168" t="s">
        <v>249</v>
      </c>
      <c r="F25" s="39" t="s">
        <v>156</v>
      </c>
      <c r="G25" s="16"/>
      <c r="H25" s="16"/>
      <c r="I25" s="16"/>
      <c r="J25" s="16"/>
      <c r="K25" s="26"/>
      <c r="L25" s="112"/>
      <c r="M25" s="26"/>
      <c r="N25" s="26"/>
      <c r="O25" s="26"/>
      <c r="P25" s="170">
        <f xml:space="preserve"> 1 - SUM(N21:P21)</f>
        <v>0</v>
      </c>
      <c r="Q25" s="31"/>
      <c r="R25" s="31"/>
      <c r="S25" s="124"/>
      <c r="T25" s="124"/>
      <c r="U25" s="124"/>
      <c r="V25" s="13"/>
      <c r="W25" s="16"/>
    </row>
    <row r="26" spans="1:23" s="10" customFormat="1">
      <c r="A26" s="16"/>
      <c r="B26" s="16"/>
      <c r="C26" s="16"/>
      <c r="D26" s="17" t="s">
        <v>81</v>
      </c>
      <c r="E26" s="168" t="s">
        <v>246</v>
      </c>
      <c r="F26" s="145" t="s">
        <v>103</v>
      </c>
      <c r="G26" s="16"/>
      <c r="H26" s="16"/>
      <c r="I26" s="16"/>
      <c r="J26" s="16"/>
      <c r="K26" s="26"/>
      <c r="L26" s="112"/>
      <c r="M26" s="26"/>
      <c r="N26" s="26"/>
      <c r="O26" s="26"/>
      <c r="P26" s="169">
        <f xml:space="preserve"> P20*(1+Discount.Rate)</f>
        <v>-0.95486104237655534</v>
      </c>
      <c r="Q26" s="31"/>
      <c r="R26" s="31"/>
      <c r="S26" s="124"/>
      <c r="T26" s="124"/>
      <c r="U26" s="124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68" t="s">
        <v>247</v>
      </c>
      <c r="F27" s="145" t="s">
        <v>103</v>
      </c>
      <c r="G27" s="16"/>
      <c r="H27" s="16"/>
      <c r="I27" s="16"/>
      <c r="J27" s="16"/>
      <c r="K27" s="26"/>
      <c r="L27" s="112"/>
      <c r="M27" s="26"/>
      <c r="N27" s="26"/>
      <c r="O27" s="26"/>
      <c r="P27" s="169">
        <f xml:space="preserve"> P25 * P26</f>
        <v>0</v>
      </c>
      <c r="Q27" s="31"/>
      <c r="R27" s="31"/>
      <c r="S27" s="124"/>
      <c r="T27" s="124"/>
      <c r="U27" s="124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68" t="s">
        <v>248</v>
      </c>
      <c r="F28" s="39" t="s">
        <v>96</v>
      </c>
      <c r="G28" s="16"/>
      <c r="H28" s="16"/>
      <c r="I28" s="16"/>
      <c r="J28" s="16"/>
      <c r="K28" s="26"/>
      <c r="L28" s="112"/>
      <c r="M28" s="26"/>
      <c r="N28" s="26"/>
      <c r="O28" s="26"/>
      <c r="P28" s="169">
        <f>P27*Indexation.November.Actual</f>
        <v>0</v>
      </c>
      <c r="Q28" s="31"/>
      <c r="R28" s="31"/>
      <c r="S28" s="124"/>
      <c r="T28" s="124"/>
      <c r="U28" s="124"/>
      <c r="V28" s="13"/>
      <c r="W28" s="16"/>
    </row>
    <row r="29" spans="1:23" s="10" customFormat="1">
      <c r="A29" s="16"/>
      <c r="B29" s="16"/>
      <c r="C29" s="16"/>
      <c r="D29" s="17"/>
      <c r="E29" s="16"/>
      <c r="F29" s="39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  <c r="W29" s="16"/>
    </row>
    <row r="30" spans="1:23" s="10" customFormat="1">
      <c r="A30" s="16"/>
      <c r="B30" s="16"/>
      <c r="C30" s="16"/>
      <c r="D30" s="17"/>
      <c r="E30" s="39" t="s">
        <v>160</v>
      </c>
      <c r="F30" s="39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  <c r="W30" s="16"/>
    </row>
    <row r="31" spans="1:23" s="10" customFormat="1">
      <c r="A31" s="16"/>
      <c r="B31" s="16"/>
      <c r="C31" s="16"/>
      <c r="D31" s="17"/>
      <c r="E31" s="9" t="s">
        <v>161</v>
      </c>
      <c r="F31" s="39"/>
      <c r="G31" s="16"/>
      <c r="H31" s="16"/>
      <c r="I31" s="16"/>
      <c r="J31" s="16"/>
      <c r="K31" s="136"/>
      <c r="L31" s="124"/>
      <c r="M31" s="124"/>
      <c r="N31" s="124"/>
      <c r="O31" s="124"/>
      <c r="P31" s="124"/>
      <c r="Q31" s="124"/>
      <c r="R31" s="124"/>
      <c r="S31" s="32"/>
      <c r="T31" s="32"/>
      <c r="U31" s="32"/>
      <c r="V31" s="16"/>
      <c r="W31" s="16"/>
    </row>
    <row r="32" spans="1:23" s="10" customFormat="1">
      <c r="A32" s="16"/>
      <c r="B32" s="16"/>
      <c r="C32" s="16"/>
      <c r="D32" s="17" t="s">
        <v>81</v>
      </c>
      <c r="E32" s="18" t="s">
        <v>162</v>
      </c>
      <c r="F32" s="39" t="s">
        <v>96</v>
      </c>
      <c r="G32" s="16"/>
      <c r="H32" s="16"/>
      <c r="I32" s="136"/>
      <c r="J32" s="136"/>
      <c r="K32" s="136"/>
      <c r="L32" s="31">
        <f>J48+J58</f>
        <v>0</v>
      </c>
      <c r="M32" s="31">
        <f t="shared" ref="M32:P32" si="6">K48+K58</f>
        <v>0</v>
      </c>
      <c r="N32" s="31">
        <f t="shared" si="6"/>
        <v>-1.8430740716678524</v>
      </c>
      <c r="O32" s="31">
        <f t="shared" si="6"/>
        <v>-9.2091528580525157</v>
      </c>
      <c r="P32" s="31">
        <f t="shared" si="6"/>
        <v>-13.012212309245301</v>
      </c>
      <c r="Q32" s="31"/>
      <c r="R32" s="31"/>
      <c r="S32" s="30"/>
      <c r="T32" s="30"/>
      <c r="U32" s="30"/>
      <c r="V32" s="13" t="s">
        <v>163</v>
      </c>
      <c r="W32" s="16"/>
    </row>
    <row r="33" spans="1:23" s="10" customFormat="1">
      <c r="A33" s="16"/>
      <c r="B33" s="16"/>
      <c r="C33" s="136"/>
      <c r="D33" s="144" t="str">
        <f>Data!D12</f>
        <v>True/False</v>
      </c>
      <c r="E33" s="144" t="str">
        <f>Data!E12</f>
        <v>Company has accepted WRFIM licence modification</v>
      </c>
      <c r="F33" s="144"/>
      <c r="G33" s="144" t="b">
        <f>Data!G12</f>
        <v>1</v>
      </c>
      <c r="H33" s="144" t="str">
        <f>Data!H12</f>
        <v>True/False</v>
      </c>
      <c r="I33" s="144"/>
      <c r="J33" s="144"/>
      <c r="K33" s="144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  <c r="W33" s="16"/>
    </row>
    <row r="34" spans="1:23" s="10" customFormat="1">
      <c r="A34" s="16"/>
      <c r="B34" s="16"/>
      <c r="C34" s="136"/>
      <c r="D34" s="142" t="s">
        <v>81</v>
      </c>
      <c r="E34" s="144" t="str">
        <f>Data!E50</f>
        <v>Over-recovered 17/18 revenue returned - water</v>
      </c>
      <c r="F34" s="145" t="s">
        <v>96</v>
      </c>
      <c r="G34" s="144"/>
      <c r="H34" s="144"/>
      <c r="I34" s="144"/>
      <c r="J34" s="144"/>
      <c r="K34" s="144"/>
      <c r="L34" s="124"/>
      <c r="M34" s="124"/>
      <c r="N34" s="124"/>
      <c r="O34" s="162">
        <f>(0 - Data!O50)</f>
        <v>-6</v>
      </c>
      <c r="P34" s="124"/>
      <c r="Q34" s="31"/>
      <c r="R34" s="31"/>
      <c r="S34" s="20"/>
      <c r="T34" s="20"/>
      <c r="U34" s="20"/>
      <c r="V34" s="13"/>
      <c r="W34" s="16"/>
    </row>
    <row r="35" spans="1:23" s="10" customFormat="1">
      <c r="A35" s="16"/>
      <c r="B35" s="16"/>
      <c r="C35" s="136"/>
      <c r="D35" s="142" t="s">
        <v>81</v>
      </c>
      <c r="E35" s="144" t="s">
        <v>243</v>
      </c>
      <c r="F35" s="145" t="s">
        <v>96</v>
      </c>
      <c r="G35" s="144"/>
      <c r="H35" s="144"/>
      <c r="I35" s="144"/>
      <c r="J35" s="144"/>
      <c r="K35" s="144"/>
      <c r="L35" s="124"/>
      <c r="M35" s="124"/>
      <c r="N35" s="124"/>
      <c r="O35" s="124"/>
      <c r="P35" s="162">
        <f>(0-O34*(1+Discount.Rate))*(INDEX(Indexation.November.Actual.YearOnYear,,MATCH(P$5,Calendar.Years,0)))</f>
        <v>6.4143350253807112</v>
      </c>
      <c r="Q35" s="31"/>
      <c r="R35" s="31"/>
      <c r="S35" s="20"/>
      <c r="T35" s="20"/>
      <c r="U35" s="20"/>
      <c r="V35" s="13"/>
      <c r="W35" s="16"/>
    </row>
    <row r="36" spans="1:23" s="10" customFormat="1">
      <c r="A36" s="16"/>
      <c r="B36" s="16"/>
      <c r="C36" s="136"/>
      <c r="D36" s="142" t="s">
        <v>81</v>
      </c>
      <c r="E36" s="144" t="str">
        <f>Data!E53</f>
        <v>Over-recovered 18/19 revenue returned - water</v>
      </c>
      <c r="F36" s="145" t="s">
        <v>96</v>
      </c>
      <c r="G36" s="144"/>
      <c r="H36" s="144"/>
      <c r="I36" s="144"/>
      <c r="J36" s="144"/>
      <c r="K36" s="144"/>
      <c r="L36" s="124"/>
      <c r="M36" s="124"/>
      <c r="N36" s="124"/>
      <c r="O36" s="124"/>
      <c r="P36" s="162">
        <f>(0 - Data!P53)</f>
        <v>0</v>
      </c>
      <c r="Q36" s="31"/>
      <c r="R36" s="31"/>
      <c r="S36" s="20"/>
      <c r="T36" s="20"/>
      <c r="U36" s="20"/>
      <c r="V36" s="13"/>
      <c r="W36" s="16"/>
    </row>
    <row r="37" spans="1:23" s="25" customFormat="1">
      <c r="A37" s="16"/>
      <c r="B37" s="16"/>
      <c r="C37" s="136"/>
      <c r="D37" s="142" t="s">
        <v>81</v>
      </c>
      <c r="E37" s="144" t="s">
        <v>164</v>
      </c>
      <c r="F37" s="145" t="s">
        <v>96</v>
      </c>
      <c r="G37" s="149"/>
      <c r="H37" s="149"/>
      <c r="I37" s="149"/>
      <c r="J37" s="149"/>
      <c r="K37" s="149"/>
      <c r="L37" s="124">
        <f>L15</f>
        <v>442.96055771519241</v>
      </c>
      <c r="M37" s="124">
        <f>M15</f>
        <v>453.5480903547799</v>
      </c>
      <c r="N37" s="124">
        <f>N15</f>
        <v>468.26116945678547</v>
      </c>
      <c r="O37" s="124">
        <f>O15</f>
        <v>491.99954157446962</v>
      </c>
      <c r="P37" s="124">
        <f>P15</f>
        <v>513.40505375439602</v>
      </c>
      <c r="Q37" s="124"/>
      <c r="R37" s="124"/>
      <c r="S37" s="124"/>
      <c r="T37" s="124"/>
      <c r="U37" s="124"/>
      <c r="V37" s="13"/>
      <c r="W37" s="16"/>
    </row>
    <row r="38" spans="1:23" s="10" customFormat="1">
      <c r="A38" s="16"/>
      <c r="B38" s="16"/>
      <c r="C38" s="136"/>
      <c r="D38" s="142" t="s">
        <v>81</v>
      </c>
      <c r="E38" s="144" t="s">
        <v>165</v>
      </c>
      <c r="F38" s="145" t="s">
        <v>96</v>
      </c>
      <c r="G38" s="136"/>
      <c r="H38" s="136"/>
      <c r="I38" s="136"/>
      <c r="J38" s="136"/>
      <c r="K38" s="136"/>
      <c r="L38" s="163">
        <f>AllRev.Outturn.Water+RCM.BlindYear.Adj.Water+AMP6.FI.Adj.Water+L34+L35+L36</f>
        <v>442.96055771519241</v>
      </c>
      <c r="M38" s="163">
        <f>AllRev.Outturn.Water+RCM.BlindYear.Adj.Water+AMP6.FI.Adj.Water+M34+M35+M36</f>
        <v>453.5480903547799</v>
      </c>
      <c r="N38" s="163">
        <f>AllRev.Outturn.Water+RCM.BlindYear.Adj.Water+AMP6.FI.Adj.Water+N34+N35+N36</f>
        <v>465.46214126215159</v>
      </c>
      <c r="O38" s="163">
        <f>AllRev.Outturn.Water+RCM.BlindYear.Adj.Water+AMP6.FI.Adj.Water+O34+O35+O36</f>
        <v>476.79038871641711</v>
      </c>
      <c r="P38" s="163">
        <f>AllRev.Outturn.Water+RCM.BlindYear.Adj.Water+AMP6.FI.Adj.Water+P34+P35+P36</f>
        <v>506.80717647053143</v>
      </c>
      <c r="Q38" s="32"/>
      <c r="R38" s="32"/>
      <c r="S38" s="32"/>
      <c r="T38" s="32"/>
      <c r="U38" s="32"/>
      <c r="V38" s="13" t="s">
        <v>166</v>
      </c>
      <c r="W38" s="16"/>
    </row>
    <row r="39" spans="1:23" s="25" customFormat="1">
      <c r="A39" s="16"/>
      <c r="B39" s="16"/>
      <c r="C39" s="136"/>
      <c r="D39" s="142" t="s">
        <v>81</v>
      </c>
      <c r="E39" s="144" t="s">
        <v>167</v>
      </c>
      <c r="F39" s="145" t="s">
        <v>96</v>
      </c>
      <c r="G39" s="149"/>
      <c r="H39" s="149"/>
      <c r="I39" s="149"/>
      <c r="J39" s="149"/>
      <c r="K39" s="149"/>
      <c r="L39" s="31">
        <f>IF($G33=TRUE,L38,MIN(L37:L38))</f>
        <v>442.96055771519241</v>
      </c>
      <c r="M39" s="31">
        <f>IF($G33=TRUE,M38,MIN(M37:M38))</f>
        <v>453.5480903547799</v>
      </c>
      <c r="N39" s="31">
        <f>IF($G33=TRUE,N38,MIN(N37:N38))</f>
        <v>465.46214126215159</v>
      </c>
      <c r="O39" s="31">
        <f>IF($G33=TRUE,O38,MIN(O37:O38))</f>
        <v>476.79038871641711</v>
      </c>
      <c r="P39" s="31">
        <f>IF($G33=TRUE,P38,MIN(P37:P38))</f>
        <v>506.80717647053143</v>
      </c>
      <c r="Q39" s="124"/>
      <c r="R39" s="124"/>
      <c r="S39" s="124"/>
      <c r="T39" s="124"/>
      <c r="U39" s="124"/>
      <c r="V39" s="13" t="s">
        <v>168</v>
      </c>
      <c r="W39" s="16"/>
    </row>
    <row r="40" spans="1:23" s="10" customFormat="1">
      <c r="A40" s="16"/>
      <c r="B40" s="16"/>
      <c r="C40" s="136"/>
      <c r="D40" s="142"/>
      <c r="E40" s="144"/>
      <c r="F40" s="145"/>
      <c r="G40" s="136"/>
      <c r="H40" s="136"/>
      <c r="I40" s="136"/>
      <c r="J40" s="136"/>
      <c r="K40" s="136"/>
      <c r="L40" s="124"/>
      <c r="M40" s="124"/>
      <c r="N40" s="124"/>
      <c r="O40" s="124"/>
      <c r="P40" s="124"/>
      <c r="Q40" s="32"/>
      <c r="R40" s="32"/>
      <c r="S40" s="32"/>
      <c r="T40" s="32"/>
      <c r="U40" s="32"/>
      <c r="V40" s="16"/>
      <c r="W40" s="16"/>
    </row>
    <row r="41" spans="1:23" s="10" customFormat="1">
      <c r="A41" s="16"/>
      <c r="B41" s="16"/>
      <c r="C41" s="16"/>
      <c r="D41" s="17" t="s">
        <v>81</v>
      </c>
      <c r="E41" s="18" t="s">
        <v>169</v>
      </c>
      <c r="F41" s="39" t="s">
        <v>96</v>
      </c>
      <c r="G41" s="16"/>
      <c r="H41" s="16"/>
      <c r="I41" s="16"/>
      <c r="J41" s="16"/>
      <c r="K41" s="136"/>
      <c r="L41" s="31">
        <f t="shared" ref="L41:P41" si="7">RecRev.Water</f>
        <v>444.62343740880692</v>
      </c>
      <c r="M41" s="137">
        <f t="shared" si="7"/>
        <v>461.63057811751656</v>
      </c>
      <c r="N41" s="31">
        <f t="shared" si="7"/>
        <v>476.64200000000005</v>
      </c>
      <c r="O41" s="137">
        <f t="shared" si="7"/>
        <v>486.23700000000002</v>
      </c>
      <c r="P41" s="137">
        <f t="shared" si="7"/>
        <v>506.87200000000001</v>
      </c>
      <c r="Q41" s="31"/>
      <c r="R41" s="31"/>
      <c r="S41" s="20"/>
      <c r="T41" s="20"/>
      <c r="U41" s="20"/>
      <c r="V41" s="16"/>
      <c r="W41" s="16"/>
    </row>
    <row r="42" spans="1:23" s="10" customFormat="1">
      <c r="A42" s="16"/>
      <c r="B42" s="16"/>
      <c r="C42" s="16"/>
      <c r="D42" s="17"/>
      <c r="E42" s="18"/>
      <c r="F42" s="39"/>
      <c r="G42" s="16"/>
      <c r="H42" s="16"/>
      <c r="I42" s="16"/>
      <c r="J42" s="16"/>
      <c r="K42" s="136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6"/>
      <c r="W42" s="16"/>
    </row>
    <row r="43" spans="1:23" s="10" customFormat="1">
      <c r="A43" s="16"/>
      <c r="B43" s="16"/>
      <c r="C43" s="16"/>
      <c r="D43" s="17" t="s">
        <v>81</v>
      </c>
      <c r="E43" s="18" t="s">
        <v>170</v>
      </c>
      <c r="F43" s="39" t="s">
        <v>96</v>
      </c>
      <c r="G43" s="16"/>
      <c r="H43" s="16"/>
      <c r="I43" s="16"/>
      <c r="J43" s="16"/>
      <c r="K43" s="136"/>
      <c r="L43" s="124">
        <f t="shared" ref="L43:M43" si="8">L41-L38</f>
        <v>1.6628796936145136</v>
      </c>
      <c r="M43" s="124">
        <f t="shared" si="8"/>
        <v>8.0824877627366618</v>
      </c>
      <c r="N43" s="124">
        <f>N41-N38</f>
        <v>11.179858737848463</v>
      </c>
      <c r="O43" s="124">
        <f t="shared" ref="O43:P43" si="9">O41-O38</f>
        <v>9.4466112835829108</v>
      </c>
      <c r="P43" s="124">
        <f t="shared" si="9"/>
        <v>6.4823529468583274E-2</v>
      </c>
      <c r="Q43" s="32"/>
      <c r="R43" s="32"/>
      <c r="S43" s="32"/>
      <c r="T43" s="32"/>
      <c r="U43" s="32"/>
      <c r="V43" s="16"/>
      <c r="W43" s="16"/>
    </row>
    <row r="44" spans="1:23" s="10" customFormat="1">
      <c r="A44" s="16"/>
      <c r="B44" s="16"/>
      <c r="C44" s="16"/>
      <c r="D44" s="17" t="s">
        <v>68</v>
      </c>
      <c r="E44" s="18" t="s">
        <v>171</v>
      </c>
      <c r="F44" s="39"/>
      <c r="G44" s="16"/>
      <c r="H44" s="16"/>
      <c r="I44" s="16"/>
      <c r="J44" s="16"/>
      <c r="K44" s="136"/>
      <c r="L44" s="138">
        <f>IF(L38=0,0,L43/L38)</f>
        <v>3.7540130033060079E-3</v>
      </c>
      <c r="M44" s="138">
        <f t="shared" ref="M44:P44" si="10">IF(M38=0,0,M43/M38)</f>
        <v>1.7820575005429478E-2</v>
      </c>
      <c r="N44" s="138">
        <f t="shared" si="10"/>
        <v>2.4018835790883122E-2</v>
      </c>
      <c r="O44" s="138">
        <f t="shared" si="10"/>
        <v>1.9812923052023847E-2</v>
      </c>
      <c r="P44" s="138">
        <f t="shared" si="10"/>
        <v>1.2790570551905449E-4</v>
      </c>
      <c r="Q44" s="124"/>
      <c r="R44" s="124"/>
      <c r="S44" s="124"/>
      <c r="T44" s="124"/>
      <c r="U44" s="124"/>
      <c r="V44" s="13" t="s">
        <v>172</v>
      </c>
      <c r="W44" s="139"/>
    </row>
    <row r="45" spans="1:23" s="25" customFormat="1">
      <c r="A45" s="16"/>
      <c r="B45" s="16"/>
      <c r="C45" s="16"/>
      <c r="D45" s="17"/>
      <c r="E45" s="18"/>
      <c r="F45" s="41"/>
      <c r="K45" s="136"/>
      <c r="L45" s="138"/>
      <c r="M45" s="138"/>
      <c r="N45" s="138"/>
      <c r="O45" s="138"/>
      <c r="P45" s="138"/>
      <c r="Q45" s="124"/>
      <c r="R45" s="124"/>
      <c r="S45" s="124"/>
      <c r="T45" s="124"/>
      <c r="U45" s="124"/>
      <c r="V45" s="13"/>
    </row>
    <row r="46" spans="1:23" s="25" customFormat="1">
      <c r="A46" s="16"/>
      <c r="B46" s="16"/>
      <c r="C46" s="16"/>
      <c r="D46" s="17"/>
      <c r="E46" s="34" t="s">
        <v>173</v>
      </c>
      <c r="F46" s="41"/>
      <c r="K46" s="136"/>
      <c r="L46" s="138"/>
      <c r="M46" s="138"/>
      <c r="N46" s="138"/>
      <c r="O46" s="138"/>
      <c r="P46" s="138"/>
      <c r="Q46" s="124"/>
      <c r="R46" s="124"/>
      <c r="S46" s="124"/>
      <c r="T46" s="124"/>
      <c r="U46" s="124"/>
      <c r="V46" s="13"/>
    </row>
    <row r="47" spans="1:23" s="25" customFormat="1">
      <c r="A47" s="16"/>
      <c r="B47" s="16"/>
      <c r="C47" s="16"/>
      <c r="D47" s="17" t="s">
        <v>81</v>
      </c>
      <c r="E47" s="18" t="s">
        <v>174</v>
      </c>
      <c r="F47" s="39" t="s">
        <v>96</v>
      </c>
      <c r="J47" s="26">
        <v>0</v>
      </c>
      <c r="K47" s="26">
        <v>0</v>
      </c>
      <c r="L47" s="31">
        <f>0-L43*(1+Discount.Rate)*(1+Discount.Rate)</f>
        <v>-1.7847621236376832</v>
      </c>
      <c r="M47" s="31">
        <f>0-M43*(1+Discount.Rate)*(1+Discount.Rate)</f>
        <v>-8.6749017857942103</v>
      </c>
      <c r="N47" s="31">
        <f>0-N43*(1+Discount.Rate)*(1+Discount.Rate)</f>
        <v>-11.999297663897805</v>
      </c>
      <c r="O47" s="26"/>
      <c r="P47" s="26"/>
      <c r="Q47" s="124"/>
      <c r="R47" s="124"/>
      <c r="S47" s="124"/>
      <c r="T47" s="124"/>
      <c r="U47" s="124"/>
      <c r="V47" s="13"/>
    </row>
    <row r="48" spans="1:23" s="25" customFormat="1">
      <c r="A48" s="16"/>
      <c r="B48" s="16"/>
      <c r="C48" s="16"/>
      <c r="D48" s="17" t="s">
        <v>81</v>
      </c>
      <c r="E48" s="18" t="s">
        <v>175</v>
      </c>
      <c r="F48" s="39" t="s">
        <v>176</v>
      </c>
      <c r="J48" s="112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-1.8430740716678524</v>
      </c>
      <c r="M48" s="31">
        <f>M47*INDEX(Indexation.November.Actual.YearOnYear,,MATCH(N$5,Calendar.Years,0))*(INDEX(Indexation.November.Actual.YearOnYear,,MATCH(O$5,Calendar.Years,0)))</f>
        <v>-9.2091528580525157</v>
      </c>
      <c r="N48" s="31">
        <f>N47*INDEX(Indexation.November.Actual.YearOnYear,,MATCH(O$5,Calendar.Years,0))*(INDEX(Indexation.November.Actual.YearOnYear,,MATCH(P$5,Calendar.Years,0)))</f>
        <v>-12.862523974181977</v>
      </c>
      <c r="O48" s="26"/>
      <c r="P48" s="26"/>
      <c r="Q48" s="124"/>
      <c r="R48" s="124"/>
      <c r="S48" s="124"/>
      <c r="T48" s="124"/>
      <c r="U48" s="124"/>
      <c r="V48" s="13"/>
      <c r="W48"/>
    </row>
    <row r="49" spans="1:23" s="25" customFormat="1">
      <c r="A49" s="16"/>
      <c r="B49" s="16"/>
      <c r="C49" s="16"/>
      <c r="D49" s="17" t="s">
        <v>81</v>
      </c>
      <c r="E49" s="18" t="s">
        <v>177</v>
      </c>
      <c r="F49" s="39" t="s">
        <v>96</v>
      </c>
      <c r="J49" s="26"/>
      <c r="K49" s="26"/>
      <c r="L49" s="26"/>
      <c r="M49" s="26"/>
      <c r="N49" s="31">
        <f>L48</f>
        <v>-1.8430740716678524</v>
      </c>
      <c r="O49" s="31">
        <f>M48</f>
        <v>-9.2091528580525157</v>
      </c>
      <c r="P49" s="31">
        <f>N48</f>
        <v>-12.862523974181977</v>
      </c>
      <c r="Q49" s="124"/>
      <c r="R49" s="124"/>
      <c r="S49" s="124"/>
      <c r="T49" s="124"/>
      <c r="U49" s="124"/>
      <c r="V49" s="13"/>
      <c r="W49"/>
    </row>
    <row r="50" spans="1:23" s="25" customFormat="1">
      <c r="A50" s="16"/>
      <c r="B50" s="16"/>
      <c r="C50" s="16"/>
      <c r="D50" s="17"/>
      <c r="E50" s="21"/>
      <c r="F50" s="39"/>
      <c r="Q50" s="124"/>
      <c r="R50" s="124"/>
      <c r="S50" s="124"/>
      <c r="T50" s="124"/>
      <c r="U50" s="124"/>
      <c r="V50" s="13"/>
      <c r="W50"/>
    </row>
    <row r="51" spans="1:23" s="25" customFormat="1">
      <c r="A51" s="16"/>
      <c r="B51" s="16"/>
      <c r="C51" s="16"/>
      <c r="D51" s="17"/>
      <c r="E51" s="34" t="s">
        <v>178</v>
      </c>
      <c r="F51" s="39"/>
      <c r="Q51" s="124"/>
      <c r="R51" s="124"/>
      <c r="S51" s="124"/>
      <c r="T51" s="124"/>
      <c r="U51" s="124"/>
      <c r="V51" s="13"/>
      <c r="W51"/>
    </row>
    <row r="52" spans="1:23" s="25" customFormat="1">
      <c r="A52" s="16"/>
      <c r="B52" s="16"/>
      <c r="C52" s="16"/>
      <c r="D52" s="17" t="s">
        <v>68</v>
      </c>
      <c r="E52" s="18" t="s">
        <v>179</v>
      </c>
      <c r="F52" s="39"/>
      <c r="L52" s="138">
        <f>IF(L39=0,0,ABS((L41-L39)/L39))</f>
        <v>3.7540130033060079E-3</v>
      </c>
      <c r="M52" s="138">
        <f t="shared" ref="M52:P52" si="11">IF(M39=0,0,ABS((M41-M39)/M39))</f>
        <v>1.7820575005429478E-2</v>
      </c>
      <c r="N52" s="138">
        <f t="shared" si="11"/>
        <v>2.4018835790883122E-2</v>
      </c>
      <c r="O52" s="138">
        <f t="shared" si="11"/>
        <v>1.9812923052023847E-2</v>
      </c>
      <c r="P52" s="138">
        <f t="shared" si="11"/>
        <v>1.2790570551905449E-4</v>
      </c>
      <c r="Q52" s="124"/>
      <c r="R52" s="124"/>
      <c r="S52" s="124"/>
      <c r="T52" s="124"/>
      <c r="U52" s="124"/>
      <c r="V52" s="13"/>
      <c r="W52"/>
    </row>
    <row r="53" spans="1:23" s="10" customFormat="1">
      <c r="A53" s="16"/>
      <c r="B53" s="16"/>
      <c r="C53" s="16"/>
      <c r="D53" s="23" t="s">
        <v>180</v>
      </c>
      <c r="E53" s="18" t="s">
        <v>181</v>
      </c>
      <c r="F53" s="39"/>
      <c r="G53" s="16"/>
      <c r="H53" s="16"/>
      <c r="I53" s="16"/>
      <c r="J53" s="16"/>
      <c r="K53" s="136"/>
      <c r="L53" s="140" t="b">
        <f>L52&gt;Threshold.Min</f>
        <v>0</v>
      </c>
      <c r="M53" s="140" t="b">
        <f>M52&gt;Threshold.Min</f>
        <v>0</v>
      </c>
      <c r="N53" s="140" t="b">
        <f>N52&gt;Threshold.Min</f>
        <v>1</v>
      </c>
      <c r="O53" s="140" t="b">
        <f>O52&gt;Threshold.Min</f>
        <v>0</v>
      </c>
      <c r="P53" s="140" t="b">
        <f>P52&gt;Threshold.Min</f>
        <v>0</v>
      </c>
      <c r="Q53" s="32"/>
      <c r="R53" s="32"/>
      <c r="S53" s="32"/>
      <c r="T53" s="32"/>
      <c r="U53" s="32"/>
      <c r="V53" s="16"/>
      <c r="W53"/>
    </row>
    <row r="54" spans="1:23">
      <c r="A54" s="16"/>
      <c r="B54" s="16"/>
      <c r="C54" s="16"/>
      <c r="D54" s="17" t="s">
        <v>68</v>
      </c>
      <c r="E54" s="18" t="s">
        <v>182</v>
      </c>
      <c r="K54" s="136"/>
      <c r="L54" s="138">
        <f>L53*Penalty.Rate.General*MIN(1,(L52-Threshold.Min)/(Threshold.Max-Threshold.Min))</f>
        <v>0</v>
      </c>
      <c r="M54" s="138">
        <f>M53*Penalty.Rate.General*MIN(1,(M52-Threshold.Min)/(Threshold.Max-Threshold.Min))</f>
        <v>0</v>
      </c>
      <c r="N54" s="138">
        <f>N53*Penalty.Rate.General*MIN(1,(N52-Threshold.Min)/(Threshold.Max-Threshold.Min))</f>
        <v>1.2056507372649366E-2</v>
      </c>
      <c r="O54" s="138">
        <f>O53*Penalty.Rate.General*MIN(1,(O52-Threshold.Min)/(Threshold.Max-Threshold.Min))</f>
        <v>0</v>
      </c>
      <c r="P54" s="138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3" s="25" customFormat="1">
      <c r="A55" s="16"/>
      <c r="B55" s="16"/>
      <c r="C55" s="16"/>
      <c r="D55" s="17"/>
      <c r="E55" s="34"/>
      <c r="F55" s="39"/>
      <c r="Q55" s="124"/>
      <c r="R55" s="124"/>
      <c r="S55" s="124"/>
      <c r="T55" s="124"/>
      <c r="U55" s="124"/>
      <c r="V55" s="13"/>
      <c r="W55"/>
    </row>
    <row r="56" spans="1:23" s="25" customFormat="1">
      <c r="A56" s="16"/>
      <c r="B56" s="16"/>
      <c r="C56" s="16"/>
      <c r="D56" s="17" t="s">
        <v>81</v>
      </c>
      <c r="E56" s="18" t="s">
        <v>183</v>
      </c>
      <c r="F56" s="39" t="s">
        <v>96</v>
      </c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-0.13479004929804841</v>
      </c>
      <c r="O56" s="31">
        <f t="shared" ref="O56:P56" si="12">0-O54*ABS(O41-O39)</f>
        <v>0</v>
      </c>
      <c r="P56" s="31">
        <f t="shared" si="12"/>
        <v>0</v>
      </c>
      <c r="Q56" s="124"/>
      <c r="R56" s="124"/>
      <c r="S56" s="124"/>
      <c r="T56" s="124"/>
      <c r="U56" s="124"/>
      <c r="V56" s="13"/>
      <c r="W56"/>
    </row>
    <row r="57" spans="1:23" s="25" customFormat="1">
      <c r="A57" s="16"/>
      <c r="B57" s="16"/>
      <c r="C57" s="16"/>
      <c r="D57" s="17" t="s">
        <v>81</v>
      </c>
      <c r="E57" s="18" t="s">
        <v>184</v>
      </c>
      <c r="F57" s="39" t="s">
        <v>96</v>
      </c>
      <c r="J57" s="26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-0.13964249107277815</v>
      </c>
      <c r="O57" s="26"/>
      <c r="P57" s="26"/>
      <c r="Q57" s="124"/>
      <c r="R57" s="124"/>
      <c r="S57" s="124"/>
      <c r="T57" s="124"/>
      <c r="U57" s="124"/>
      <c r="V57" s="13"/>
      <c r="W57"/>
    </row>
    <row r="58" spans="1:23" s="25" customFormat="1">
      <c r="A58" s="16"/>
      <c r="B58" s="16"/>
      <c r="C58" s="16"/>
      <c r="D58" s="17" t="s">
        <v>81</v>
      </c>
      <c r="E58" s="18" t="s">
        <v>185</v>
      </c>
      <c r="F58" s="39" t="s">
        <v>96</v>
      </c>
      <c r="J58" s="112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-0.14968833506332452</v>
      </c>
      <c r="O58" s="26"/>
      <c r="P58" s="26"/>
      <c r="Q58" s="124"/>
      <c r="R58" s="124"/>
      <c r="S58" s="124"/>
      <c r="T58" s="124"/>
      <c r="U58" s="124"/>
      <c r="V58" s="13"/>
      <c r="W58"/>
    </row>
    <row r="59" spans="1:23" s="25" customFormat="1">
      <c r="A59" s="16"/>
      <c r="B59" s="16"/>
      <c r="C59" s="16"/>
      <c r="D59" s="17" t="s">
        <v>81</v>
      </c>
      <c r="E59" s="18" t="s">
        <v>186</v>
      </c>
      <c r="F59" s="39" t="s">
        <v>96</v>
      </c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-0.14968833506332452</v>
      </c>
      <c r="Q59" s="124"/>
      <c r="R59" s="124"/>
      <c r="T59" s="124"/>
      <c r="U59" s="124"/>
      <c r="V59" s="13"/>
      <c r="W59"/>
    </row>
    <row r="60" spans="1:23" s="25" customFormat="1">
      <c r="A60" s="16"/>
      <c r="B60" s="16"/>
      <c r="C60" s="16"/>
      <c r="Q60" s="124"/>
      <c r="R60" s="124"/>
      <c r="S60" s="124"/>
      <c r="T60" s="124"/>
      <c r="U60" s="124"/>
      <c r="V60" s="13"/>
      <c r="W60"/>
    </row>
    <row r="61" spans="1:23" s="25" customFormat="1">
      <c r="A61" s="16"/>
      <c r="B61" s="16"/>
      <c r="C61" s="16"/>
      <c r="E61" s="34" t="s">
        <v>187</v>
      </c>
      <c r="Q61" s="124"/>
      <c r="R61" s="124"/>
      <c r="S61" s="124"/>
      <c r="T61" s="124"/>
      <c r="U61" s="124"/>
      <c r="V61" s="13"/>
      <c r="W61"/>
    </row>
    <row r="62" spans="1:23" s="25" customFormat="1">
      <c r="A62" s="16"/>
      <c r="B62" s="16"/>
      <c r="C62" s="16"/>
      <c r="D62" s="17" t="s">
        <v>81</v>
      </c>
      <c r="E62" s="18" t="s">
        <v>177</v>
      </c>
      <c r="F62" s="39" t="s">
        <v>96</v>
      </c>
      <c r="L62" s="26"/>
      <c r="M62" s="26"/>
      <c r="N62" s="31">
        <f>N49</f>
        <v>-1.8430740716678524</v>
      </c>
      <c r="O62" s="31">
        <f>O49</f>
        <v>-9.2091528580525157</v>
      </c>
      <c r="P62" s="31">
        <f>P49</f>
        <v>-12.862523974181977</v>
      </c>
      <c r="Q62" s="124"/>
      <c r="R62" s="124"/>
      <c r="S62" s="124"/>
      <c r="T62" s="124"/>
      <c r="U62" s="124"/>
      <c r="V62" s="13"/>
      <c r="W62"/>
    </row>
    <row r="63" spans="1:23" s="25" customFormat="1">
      <c r="A63" s="16"/>
      <c r="B63" s="16"/>
      <c r="C63" s="16"/>
      <c r="D63" s="17" t="s">
        <v>81</v>
      </c>
      <c r="E63" s="18" t="s">
        <v>186</v>
      </c>
      <c r="F63" s="39" t="s">
        <v>96</v>
      </c>
      <c r="L63" s="26"/>
      <c r="M63" s="26"/>
      <c r="N63" s="31">
        <f>N59</f>
        <v>0</v>
      </c>
      <c r="O63" s="31">
        <f>O59</f>
        <v>0</v>
      </c>
      <c r="P63" s="31">
        <f>P59</f>
        <v>-0.14968833506332452</v>
      </c>
      <c r="Q63" s="124"/>
      <c r="R63" s="124"/>
      <c r="S63" s="124"/>
      <c r="T63" s="124"/>
      <c r="U63" s="124"/>
      <c r="V63" s="13"/>
      <c r="W63"/>
    </row>
    <row r="64" spans="1:23">
      <c r="A64" s="16"/>
      <c r="B64" s="16"/>
      <c r="C64" s="16"/>
      <c r="D64" s="17" t="s">
        <v>81</v>
      </c>
      <c r="E64" s="18" t="s">
        <v>188</v>
      </c>
      <c r="F64" s="39" t="s">
        <v>96</v>
      </c>
      <c r="K64" s="136"/>
      <c r="L64" s="26"/>
      <c r="M64" s="26"/>
      <c r="N64" s="31">
        <f>SUM(N62:N63)</f>
        <v>-1.8430740716678524</v>
      </c>
      <c r="O64" s="31">
        <f>SUM(O62:O63)</f>
        <v>-9.2091528580525157</v>
      </c>
      <c r="P64" s="31">
        <f>SUM(P62:P63)</f>
        <v>-13.012212309245301</v>
      </c>
    </row>
    <row r="65" spans="1:23">
      <c r="A65" s="16"/>
      <c r="B65" s="16"/>
      <c r="C65" s="16"/>
      <c r="K65" s="136"/>
    </row>
    <row r="66" spans="1:23">
      <c r="A66" s="16"/>
      <c r="B66" s="16"/>
      <c r="C66" s="16"/>
      <c r="E66" s="39" t="s">
        <v>189</v>
      </c>
      <c r="K66" s="136"/>
    </row>
    <row r="67" spans="1:23">
      <c r="D67" s="23" t="s">
        <v>180</v>
      </c>
      <c r="E67" s="18" t="s">
        <v>190</v>
      </c>
      <c r="K67" s="136"/>
      <c r="L67" s="140" t="b">
        <f t="shared" ref="L67:O67" si="13">ABS(Perc.Recovered.Water)&gt;Additional.Analysis</f>
        <v>0</v>
      </c>
      <c r="M67" s="140" t="b">
        <f t="shared" si="13"/>
        <v>0</v>
      </c>
      <c r="N67" s="140" t="b">
        <f t="shared" si="13"/>
        <v>0</v>
      </c>
      <c r="O67" s="140" t="b">
        <f t="shared" si="13"/>
        <v>0</v>
      </c>
      <c r="P67" s="141" t="b">
        <f>ABS(Perc.Recovered.Water)&gt;Additional.Analysis</f>
        <v>0</v>
      </c>
    </row>
    <row r="68" spans="1:23">
      <c r="D68" s="23"/>
      <c r="E68" s="18"/>
    </row>
    <row r="69" spans="1:23" s="7" customFormat="1" ht="15">
      <c r="A69" s="130"/>
      <c r="B69" s="8"/>
      <c r="C69" s="8"/>
      <c r="D69" s="134"/>
      <c r="E69" s="131" t="s">
        <v>191</v>
      </c>
      <c r="F69" s="132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</row>
    <row r="71" spans="1:23">
      <c r="E71" s="39" t="s">
        <v>192</v>
      </c>
    </row>
    <row r="72" spans="1:23">
      <c r="D72" s="17" t="s">
        <v>81</v>
      </c>
      <c r="E72" s="18" t="s">
        <v>193</v>
      </c>
      <c r="F72" s="39" t="s">
        <v>96</v>
      </c>
      <c r="L72" s="26"/>
      <c r="M72" s="26"/>
      <c r="N72" s="26"/>
      <c r="O72" s="26"/>
      <c r="P72" s="31">
        <f>0-O43*(1+Discount.Rate)*Indexation.November.Actual.YearOnYear</f>
        <v>-10.098954937907084</v>
      </c>
    </row>
    <row r="73" spans="1:23">
      <c r="D73" s="17" t="s">
        <v>81</v>
      </c>
      <c r="E73" s="18" t="s">
        <v>194</v>
      </c>
      <c r="F73" s="39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39" t="s">
        <v>96</v>
      </c>
      <c r="L74" s="26"/>
      <c r="M74" s="26"/>
      <c r="N74" s="26"/>
      <c r="O74" s="26"/>
      <c r="P74" s="31">
        <f>SUM(P72:P73)</f>
        <v>-10.098954937907084</v>
      </c>
    </row>
    <row r="75" spans="1:23"/>
    <row r="76" spans="1:23">
      <c r="E76" s="39" t="s">
        <v>196</v>
      </c>
    </row>
    <row r="77" spans="1:23">
      <c r="D77" s="17" t="s">
        <v>81</v>
      </c>
      <c r="E77" s="18" t="s">
        <v>197</v>
      </c>
      <c r="F77" s="39" t="s">
        <v>96</v>
      </c>
      <c r="L77" s="26"/>
      <c r="M77" s="26"/>
      <c r="N77" s="26"/>
      <c r="O77" s="26"/>
      <c r="P77" s="31">
        <f>0-P43</f>
        <v>-6.4823529468583274E-2</v>
      </c>
    </row>
    <row r="78" spans="1:23">
      <c r="D78" s="17" t="s">
        <v>81</v>
      </c>
      <c r="E78" s="18" t="s">
        <v>198</v>
      </c>
      <c r="F78" s="39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39" t="s">
        <v>96</v>
      </c>
      <c r="L79" s="26"/>
      <c r="M79" s="26"/>
      <c r="N79" s="26"/>
      <c r="O79" s="26"/>
      <c r="P79" s="31">
        <f>SUM(P77:P78)</f>
        <v>-6.4823529468583274E-2</v>
      </c>
    </row>
    <row r="80" spans="1:23">
      <c r="E80" s="18"/>
    </row>
    <row r="81" spans="1:23">
      <c r="E81" s="39" t="s">
        <v>245</v>
      </c>
    </row>
    <row r="82" spans="1:23">
      <c r="D82" s="17" t="s">
        <v>81</v>
      </c>
      <c r="E82" s="168" t="str">
        <f>E28</f>
        <v>AMP5 RCM adjustment to be applied at PR19 (Outturn price base)</v>
      </c>
      <c r="F82" s="39" t="s">
        <v>96</v>
      </c>
      <c r="L82" s="26"/>
      <c r="M82" s="26"/>
      <c r="N82" s="26"/>
      <c r="O82" s="26"/>
      <c r="P82" s="169">
        <f>P28</f>
        <v>0</v>
      </c>
    </row>
    <row r="83" spans="1:23">
      <c r="E83" s="18"/>
    </row>
    <row r="84" spans="1:23">
      <c r="D84" s="17" t="s">
        <v>81</v>
      </c>
      <c r="E84" s="34" t="s">
        <v>200</v>
      </c>
      <c r="F84" s="39" t="s">
        <v>96</v>
      </c>
      <c r="L84" s="26"/>
      <c r="M84" s="26"/>
      <c r="N84" s="26"/>
      <c r="O84" s="26"/>
      <c r="P84" s="169">
        <f>SUM(P74,P79,P82)</f>
        <v>-10.163778467375668</v>
      </c>
      <c r="Q84" s="13" t="s">
        <v>201</v>
      </c>
    </row>
    <row r="85" spans="1:23" ht="13.5" thickBot="1">
      <c r="E85" s="22"/>
    </row>
    <row r="86" spans="1:23" ht="13.5" thickBot="1">
      <c r="A86" s="11" t="s">
        <v>111</v>
      </c>
      <c r="B86" s="12"/>
      <c r="C86" s="12"/>
      <c r="D86" s="12"/>
      <c r="E86" s="12"/>
      <c r="F86" s="40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/>
    <row r="178"/>
    <row r="179"/>
    <row r="180"/>
    <row r="181"/>
    <row r="182"/>
  </sheetData>
  <conditionalFormatting sqref="L53:P53">
    <cfRule type="cellIs" dxfId="3" priority="4" operator="equal">
      <formula>TRUE</formula>
    </cfRule>
  </conditionalFormatting>
  <conditionalFormatting sqref="L67:P67">
    <cfRule type="cellIs" dxfId="2" priority="3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  <pageSetUpPr fitToPage="1"/>
  </sheetPr>
  <dimension ref="A1:W164"/>
  <sheetViews>
    <sheetView showGridLines="0" zoomScale="80" zoomScaleNormal="80" workbookViewId="0">
      <pane xSplit="8" ySplit="7" topLeftCell="I8" activePane="bottomRight" state="frozen"/>
      <selection activeCell="P85" sqref="P85"/>
      <selection pane="topRight" activeCell="P85" sqref="P85"/>
      <selection pane="bottomLeft" activeCell="P85" sqref="P85"/>
      <selection pane="bottomRight" activeCell="I8" sqref="I8"/>
    </sheetView>
  </sheetViews>
  <sheetFormatPr defaultColWidth="0" defaultRowHeight="12.75" zeroHeight="1"/>
  <cols>
    <col min="1" max="3" width="2.7109375" customWidth="1"/>
    <col min="4" max="4" width="9.140625" customWidth="1"/>
    <col min="5" max="5" width="68.85546875" customWidth="1"/>
    <col min="6" max="6" width="15.7109375" customWidth="1"/>
    <col min="7" max="7" width="7.85546875" customWidth="1"/>
    <col min="8" max="8" width="10.7109375" customWidth="1"/>
    <col min="9" max="21" width="10.5703125" customWidth="1"/>
    <col min="22" max="22" width="26.5703125" customWidth="1"/>
    <col min="23" max="23" width="9.140625" customWidth="1"/>
    <col min="24" max="28" width="0" hidden="1" customWidth="1"/>
  </cols>
  <sheetData>
    <row r="1" spans="1:23" s="2" customFormat="1" ht="33.75">
      <c r="A1" s="28"/>
      <c r="B1" s="28"/>
      <c r="C1" s="28"/>
      <c r="D1" s="28" t="s">
        <v>202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16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16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29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16"/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33">
        <f t="shared" si="1"/>
        <v>2018</v>
      </c>
      <c r="P5" s="33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29">
        <v>1</v>
      </c>
      <c r="M6" s="129">
        <v>2</v>
      </c>
      <c r="N6" s="129">
        <v>3</v>
      </c>
      <c r="O6" s="129">
        <v>4</v>
      </c>
      <c r="P6" s="129">
        <v>5</v>
      </c>
      <c r="Q6" s="129">
        <v>6</v>
      </c>
      <c r="R6" s="129">
        <v>7</v>
      </c>
      <c r="S6" s="129">
        <v>8</v>
      </c>
      <c r="T6" s="129">
        <v>9</v>
      </c>
      <c r="U6" s="129">
        <v>10</v>
      </c>
      <c r="V6" s="16"/>
      <c r="W6" s="16"/>
    </row>
    <row r="7" spans="1:23"/>
    <row r="8" spans="1:23" s="7" customFormat="1" ht="15">
      <c r="A8" s="130"/>
      <c r="B8" s="8"/>
      <c r="C8" s="8"/>
      <c r="D8" s="134"/>
      <c r="E8" s="131" t="s">
        <v>144</v>
      </c>
      <c r="F8" s="27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10" customFormat="1">
      <c r="A9" s="16"/>
      <c r="B9" s="16"/>
      <c r="C9" s="16"/>
      <c r="D9" s="17"/>
      <c r="E9" s="16"/>
      <c r="F9" s="16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39" t="s">
        <v>145</v>
      </c>
      <c r="F10" s="16"/>
      <c r="G10" s="16"/>
      <c r="H10" s="16"/>
      <c r="I10" s="16"/>
      <c r="J10" s="16"/>
      <c r="K10" s="136"/>
      <c r="L10" s="124"/>
      <c r="M10" s="124"/>
      <c r="N10" s="124"/>
      <c r="O10" s="124"/>
      <c r="P10" s="124"/>
      <c r="Q10" s="124"/>
      <c r="R10" s="124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16"/>
      <c r="G11" s="16"/>
      <c r="H11" s="16"/>
      <c r="I11" s="16"/>
      <c r="J11" s="16"/>
      <c r="K11" s="16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39"/>
      <c r="G12" s="16"/>
      <c r="H12" s="16"/>
      <c r="I12" s="16"/>
      <c r="J12" s="16"/>
      <c r="K12" s="31"/>
      <c r="L12" s="31">
        <f>K.Waste</f>
        <v>0</v>
      </c>
      <c r="M12" s="31">
        <f>K.Waste</f>
        <v>0.86</v>
      </c>
      <c r="N12" s="31">
        <f>K.Waste</f>
        <v>0.72</v>
      </c>
      <c r="O12" s="31">
        <f>K.Waste</f>
        <v>0.73</v>
      </c>
      <c r="P12" s="31">
        <f>K.Waste</f>
        <v>0.12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39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1.0501750291715295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3.1907179115300943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39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1.0191017502917152</v>
      </c>
      <c r="N14" s="31">
        <f t="shared" ref="N14:P14" si="2">1+(N13+N12)/100</f>
        <v>1.0291399538106236</v>
      </c>
      <c r="O14" s="31">
        <f t="shared" si="2"/>
        <v>1.0460947269303202</v>
      </c>
      <c r="P14" s="31">
        <f t="shared" si="2"/>
        <v>1.033107179115301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39" t="s">
        <v>96</v>
      </c>
      <c r="G15" s="16"/>
      <c r="H15" s="16"/>
      <c r="I15" s="16"/>
      <c r="J15" s="16"/>
      <c r="K15" s="31">
        <f>AllRev.Waste</f>
        <v>637.02099999999996</v>
      </c>
      <c r="L15" s="31">
        <f>K15*L14</f>
        <v>649.65529194763985</v>
      </c>
      <c r="M15" s="31">
        <f>L15*M14</f>
        <v>662.06484511011502</v>
      </c>
      <c r="N15" s="31">
        <f>M15*N14</f>
        <v>681.35738411626141</v>
      </c>
      <c r="O15" s="31">
        <f t="shared" ref="O15:P15" si="3">N15*O14</f>
        <v>712.76436667905784</v>
      </c>
      <c r="P15" s="31">
        <f t="shared" si="3"/>
        <v>736.36198423370547</v>
      </c>
      <c r="Q15" s="124"/>
      <c r="R15" s="124"/>
      <c r="S15" s="124"/>
      <c r="T15" s="124"/>
      <c r="U15" s="124"/>
      <c r="V15" s="13" t="s">
        <v>203</v>
      </c>
      <c r="W15" s="16"/>
    </row>
    <row r="16" spans="1:23" s="10" customFormat="1">
      <c r="A16" s="16"/>
      <c r="B16" s="16"/>
      <c r="C16" s="16"/>
      <c r="D16" s="17"/>
      <c r="E16" s="16"/>
      <c r="F16" s="39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D17" s="17"/>
      <c r="E17" s="39" t="s">
        <v>151</v>
      </c>
      <c r="F17" s="39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</row>
    <row r="18" spans="1:23" s="10" customFormat="1">
      <c r="D18" s="17"/>
      <c r="E18" s="9" t="s">
        <v>152</v>
      </c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</row>
    <row r="19" spans="1:23" s="10" customFormat="1">
      <c r="D19" s="17" t="s">
        <v>81</v>
      </c>
      <c r="E19" s="18" t="s">
        <v>153</v>
      </c>
      <c r="F19" s="39" t="s">
        <v>103</v>
      </c>
      <c r="G19" s="16"/>
      <c r="H19" s="16"/>
      <c r="I19" s="16"/>
      <c r="J19" s="16"/>
      <c r="K19" s="137">
        <f>BlindYear.1415.Adj.Waste</f>
        <v>-3.3147656069530314</v>
      </c>
      <c r="L19" s="13" t="s">
        <v>204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</row>
    <row r="20" spans="1:23" s="10" customFormat="1">
      <c r="D20" s="142" t="s">
        <v>81</v>
      </c>
      <c r="E20" s="144" t="s">
        <v>155</v>
      </c>
      <c r="F20" s="145" t="s">
        <v>103</v>
      </c>
      <c r="G20" s="136"/>
      <c r="H20" s="136"/>
      <c r="I20" s="136"/>
      <c r="J20" s="136"/>
      <c r="K20" s="31">
        <f>AMP5.RCM.Adj.Waste</f>
        <v>-3.3147656069530314</v>
      </c>
      <c r="L20" s="31">
        <f>K20*(1+Discount.Rate)</f>
        <v>-3.4340971688033406</v>
      </c>
      <c r="M20" s="31">
        <f>L20*(1+Discount.Rate)</f>
        <v>-3.5577246668802611</v>
      </c>
      <c r="N20" s="31">
        <f>M20*(1+Discount.Rate)</f>
        <v>-3.6858027548879506</v>
      </c>
      <c r="O20" s="31">
        <f>N20*(1+Discount.Rate)</f>
        <v>-3.8184916540639171</v>
      </c>
      <c r="P20" s="31">
        <f>O20*(1+Discount.Rate)</f>
        <v>-3.9559573536102182</v>
      </c>
      <c r="Q20" s="16"/>
      <c r="R20" s="16"/>
      <c r="S20" s="32"/>
      <c r="T20" s="32"/>
      <c r="U20" s="32"/>
      <c r="V20" s="16"/>
    </row>
    <row r="21" spans="1:23" s="10" customFormat="1">
      <c r="D21" s="142" t="s">
        <v>135</v>
      </c>
      <c r="E21" s="144" t="str">
        <f>Data!E45</f>
        <v>Percentage of blind year adjustment by year - waste</v>
      </c>
      <c r="F21" s="145" t="s">
        <v>156</v>
      </c>
      <c r="G21" s="136"/>
      <c r="H21" s="136"/>
      <c r="I21" s="136"/>
      <c r="J21" s="136"/>
      <c r="K21" s="26"/>
      <c r="L21" s="26"/>
      <c r="M21" s="26"/>
      <c r="N21" s="148">
        <f>Data!N45</f>
        <v>1</v>
      </c>
      <c r="O21" s="148">
        <f>Data!O45</f>
        <v>0</v>
      </c>
      <c r="P21" s="148">
        <f>Data!P45</f>
        <v>0</v>
      </c>
      <c r="Q21" s="16"/>
      <c r="R21" s="16"/>
      <c r="S21" s="32"/>
      <c r="T21" s="32"/>
      <c r="U21" s="32"/>
      <c r="V21" s="16"/>
    </row>
    <row r="22" spans="1:23" s="10" customFormat="1">
      <c r="D22" s="17" t="s">
        <v>81</v>
      </c>
      <c r="E22" s="18" t="s">
        <v>157</v>
      </c>
      <c r="F22" s="39" t="s">
        <v>103</v>
      </c>
      <c r="G22" s="16"/>
      <c r="H22" s="16"/>
      <c r="I22" s="16"/>
      <c r="J22" s="16"/>
      <c r="K22" s="26"/>
      <c r="L22" s="26"/>
      <c r="M22" s="26"/>
      <c r="N22" s="31">
        <f t="shared" ref="N22:P22" si="4">N20*N21</f>
        <v>-3.6858027548879506</v>
      </c>
      <c r="O22" s="31">
        <f t="shared" si="4"/>
        <v>0</v>
      </c>
      <c r="P22" s="31">
        <f t="shared" si="4"/>
        <v>0</v>
      </c>
      <c r="Q22" s="137"/>
      <c r="R22" s="137"/>
      <c r="S22" s="32"/>
      <c r="T22" s="32"/>
      <c r="U22" s="32"/>
      <c r="V22" s="16"/>
    </row>
    <row r="23" spans="1:23" s="10" customFormat="1">
      <c r="D23" s="17" t="s">
        <v>81</v>
      </c>
      <c r="E23" s="18" t="s">
        <v>158</v>
      </c>
      <c r="F23" s="39" t="s">
        <v>96</v>
      </c>
      <c r="G23" s="16"/>
      <c r="H23" s="16"/>
      <c r="I23" s="16"/>
      <c r="J23" s="16"/>
      <c r="K23" s="26"/>
      <c r="L23" s="26"/>
      <c r="M23" s="26"/>
      <c r="N23" s="31">
        <f>N22*Indexation.November.Actual</f>
        <v>-4.1030634441205489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4"/>
      <c r="T23" s="124"/>
      <c r="U23" s="124"/>
      <c r="V23" s="13" t="s">
        <v>205</v>
      </c>
    </row>
    <row r="24" spans="1:23" s="10" customFormat="1">
      <c r="D24" s="17"/>
      <c r="E24" s="18"/>
      <c r="F24" s="39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4"/>
      <c r="T24" s="124"/>
      <c r="U24" s="124"/>
      <c r="V24" s="13"/>
    </row>
    <row r="25" spans="1:23" s="10" customFormat="1">
      <c r="D25" s="17" t="s">
        <v>135</v>
      </c>
      <c r="E25" s="168" t="s">
        <v>250</v>
      </c>
      <c r="F25" s="39" t="s">
        <v>156</v>
      </c>
      <c r="G25" s="16"/>
      <c r="H25" s="16"/>
      <c r="I25" s="16"/>
      <c r="J25" s="16"/>
      <c r="K25" s="26"/>
      <c r="L25" s="26"/>
      <c r="M25" s="26"/>
      <c r="N25" s="26"/>
      <c r="O25" s="26"/>
      <c r="P25" s="170">
        <f xml:space="preserve"> 1 - SUM(N21:P21)</f>
        <v>0</v>
      </c>
      <c r="Q25" s="31"/>
      <c r="R25" s="31"/>
      <c r="S25" s="124"/>
      <c r="T25" s="124"/>
      <c r="U25" s="124"/>
      <c r="V25" s="13"/>
    </row>
    <row r="26" spans="1:23" s="10" customFormat="1">
      <c r="A26" s="16"/>
      <c r="B26" s="16"/>
      <c r="C26" s="16"/>
      <c r="D26" s="17" t="s">
        <v>81</v>
      </c>
      <c r="E26" s="168" t="s">
        <v>246</v>
      </c>
      <c r="F26" s="145" t="s">
        <v>103</v>
      </c>
      <c r="G26" s="16"/>
      <c r="H26" s="16"/>
      <c r="I26" s="16"/>
      <c r="J26" s="16"/>
      <c r="K26" s="26"/>
      <c r="L26" s="112"/>
      <c r="M26" s="26"/>
      <c r="N26" s="26"/>
      <c r="O26" s="26"/>
      <c r="P26" s="169">
        <f xml:space="preserve"> P20*(1+Discount.Rate)</f>
        <v>-4.098371818340186</v>
      </c>
      <c r="Q26" s="31"/>
      <c r="R26" s="31"/>
      <c r="S26" s="124"/>
      <c r="T26" s="124"/>
      <c r="U26" s="124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68" t="s">
        <v>247</v>
      </c>
      <c r="F27" s="145" t="s">
        <v>103</v>
      </c>
      <c r="G27" s="16"/>
      <c r="H27" s="16"/>
      <c r="I27" s="16"/>
      <c r="J27" s="16"/>
      <c r="K27" s="26"/>
      <c r="L27" s="112"/>
      <c r="M27" s="26"/>
      <c r="N27" s="26"/>
      <c r="O27" s="26"/>
      <c r="P27" s="169">
        <f xml:space="preserve"> P25 * P26</f>
        <v>0</v>
      </c>
      <c r="Q27" s="31"/>
      <c r="R27" s="31"/>
      <c r="S27" s="124"/>
      <c r="T27" s="124"/>
      <c r="U27" s="124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68" t="s">
        <v>248</v>
      </c>
      <c r="F28" s="39" t="s">
        <v>96</v>
      </c>
      <c r="G28" s="16"/>
      <c r="H28" s="16"/>
      <c r="I28" s="16"/>
      <c r="J28" s="16"/>
      <c r="K28" s="26"/>
      <c r="L28" s="112"/>
      <c r="M28" s="26"/>
      <c r="N28" s="26"/>
      <c r="O28" s="26"/>
      <c r="P28" s="169">
        <f>P27*Indexation.November.Actual</f>
        <v>0</v>
      </c>
      <c r="Q28" s="31"/>
      <c r="R28" s="31"/>
      <c r="S28" s="124"/>
      <c r="T28" s="124"/>
      <c r="U28" s="124"/>
      <c r="V28" s="13"/>
      <c r="W28" s="16"/>
    </row>
    <row r="29" spans="1:23" s="10" customFormat="1">
      <c r="D29" s="17"/>
      <c r="E29" s="16"/>
      <c r="F29" s="39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</row>
    <row r="30" spans="1:23" s="10" customFormat="1">
      <c r="D30" s="17"/>
      <c r="E30" s="39" t="s">
        <v>160</v>
      </c>
      <c r="F30" s="39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</row>
    <row r="31" spans="1:23" s="10" customFormat="1">
      <c r="D31" s="17"/>
      <c r="E31" s="9" t="s">
        <v>161</v>
      </c>
      <c r="F31" s="39"/>
      <c r="G31" s="16"/>
      <c r="H31" s="16"/>
      <c r="I31" s="16"/>
      <c r="J31" s="16"/>
      <c r="K31" s="136"/>
      <c r="L31" s="124"/>
      <c r="M31" s="124"/>
      <c r="N31" s="124"/>
      <c r="O31" s="124"/>
      <c r="P31" s="124"/>
      <c r="Q31" s="124"/>
      <c r="R31" s="124"/>
      <c r="S31" s="32"/>
      <c r="T31" s="32"/>
      <c r="U31" s="32"/>
      <c r="V31" s="16"/>
    </row>
    <row r="32" spans="1:23" s="10" customFormat="1">
      <c r="D32" s="17" t="s">
        <v>81</v>
      </c>
      <c r="E32" s="18" t="s">
        <v>162</v>
      </c>
      <c r="F32" s="39" t="s">
        <v>96</v>
      </c>
      <c r="G32" s="16"/>
      <c r="H32" s="16"/>
      <c r="I32" s="16"/>
      <c r="J32" s="16"/>
      <c r="K32" s="136"/>
      <c r="L32" s="31">
        <f>J48+J58</f>
        <v>0</v>
      </c>
      <c r="M32" s="31">
        <f t="shared" ref="M32:P32" si="6">K48+K58</f>
        <v>0</v>
      </c>
      <c r="N32" s="31">
        <f t="shared" si="6"/>
        <v>4.1841830595313132</v>
      </c>
      <c r="O32" s="31">
        <f t="shared" si="6"/>
        <v>1.0039761274074361</v>
      </c>
      <c r="P32" s="31">
        <f t="shared" si="6"/>
        <v>-3.0931381618261407</v>
      </c>
      <c r="Q32" s="31"/>
      <c r="R32" s="31"/>
      <c r="S32" s="30"/>
      <c r="T32" s="30"/>
      <c r="U32" s="30"/>
      <c r="V32" s="13" t="s">
        <v>206</v>
      </c>
    </row>
    <row r="33" spans="1:22" s="10" customFormat="1">
      <c r="D33" s="144" t="str">
        <f>Data!D12</f>
        <v>True/False</v>
      </c>
      <c r="E33" s="144" t="str">
        <f>Data!E12</f>
        <v>Company has accepted WRFIM licence modification</v>
      </c>
      <c r="F33" s="144"/>
      <c r="G33" s="144" t="b">
        <f>Data!G12</f>
        <v>1</v>
      </c>
      <c r="H33" s="144" t="str">
        <f>Data!H12</f>
        <v>True/False</v>
      </c>
      <c r="I33" s="136"/>
      <c r="J33" s="136"/>
      <c r="K33" s="136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</row>
    <row r="34" spans="1:22" s="10" customFormat="1">
      <c r="D34" s="142" t="s">
        <v>81</v>
      </c>
      <c r="E34" s="144" t="str">
        <f>Data!E51</f>
        <v>Over-recovered 17/18 revenue returned - wastewater</v>
      </c>
      <c r="F34" s="145" t="s">
        <v>96</v>
      </c>
      <c r="G34" s="144"/>
      <c r="H34" s="144"/>
      <c r="I34" s="136"/>
      <c r="J34" s="136"/>
      <c r="K34" s="136"/>
      <c r="L34" s="124"/>
      <c r="M34" s="124"/>
      <c r="N34" s="124"/>
      <c r="O34" s="162">
        <f>(0 - Data!O51)</f>
        <v>-4</v>
      </c>
      <c r="P34" s="124"/>
      <c r="Q34" s="31"/>
      <c r="R34" s="31"/>
      <c r="S34" s="20"/>
      <c r="T34" s="20"/>
      <c r="U34" s="20"/>
      <c r="V34" s="13"/>
    </row>
    <row r="35" spans="1:22" s="10" customFormat="1">
      <c r="D35" s="142" t="s">
        <v>81</v>
      </c>
      <c r="E35" s="144" t="s">
        <v>244</v>
      </c>
      <c r="F35" s="145" t="s">
        <v>96</v>
      </c>
      <c r="G35" s="144"/>
      <c r="H35" s="144"/>
      <c r="I35" s="136"/>
      <c r="J35" s="136"/>
      <c r="K35" s="136"/>
      <c r="L35" s="124"/>
      <c r="M35" s="124"/>
      <c r="N35" s="124"/>
      <c r="O35" s="124"/>
      <c r="P35" s="162">
        <f>(0-O34*(1+Discount.Rate))*(INDEX(Indexation.November.Actual.YearOnYear,,MATCH(P$5,Calendar.Years,0)))</f>
        <v>4.2762233502538072</v>
      </c>
      <c r="Q35" s="31"/>
      <c r="R35" s="31"/>
      <c r="S35" s="20"/>
      <c r="T35" s="20"/>
      <c r="U35" s="20"/>
      <c r="V35" s="13"/>
    </row>
    <row r="36" spans="1:22" s="10" customFormat="1">
      <c r="D36" s="142" t="s">
        <v>81</v>
      </c>
      <c r="E36" s="144" t="str">
        <f>Data!E54</f>
        <v>Over-recovered 18/19 revenue returned - wastewater</v>
      </c>
      <c r="F36" s="145" t="s">
        <v>96</v>
      </c>
      <c r="G36" s="144"/>
      <c r="H36" s="144"/>
      <c r="I36" s="136"/>
      <c r="J36" s="136"/>
      <c r="K36" s="136"/>
      <c r="L36" s="124"/>
      <c r="M36" s="124"/>
      <c r="N36" s="124"/>
      <c r="O36" s="124"/>
      <c r="P36" s="162">
        <f>(0 - Data!P54)</f>
        <v>0</v>
      </c>
      <c r="Q36" s="31"/>
      <c r="R36" s="31"/>
      <c r="S36" s="20"/>
      <c r="T36" s="20"/>
      <c r="U36" s="20"/>
      <c r="V36" s="13"/>
    </row>
    <row r="37" spans="1:22" s="10" customFormat="1">
      <c r="D37" s="142" t="s">
        <v>81</v>
      </c>
      <c r="E37" s="144" t="s">
        <v>164</v>
      </c>
      <c r="F37" s="145" t="s">
        <v>96</v>
      </c>
      <c r="G37" s="149"/>
      <c r="H37" s="149"/>
      <c r="I37" s="149"/>
      <c r="J37" s="149"/>
      <c r="K37" s="149"/>
      <c r="L37" s="124">
        <f>L15</f>
        <v>649.65529194763985</v>
      </c>
      <c r="M37" s="124">
        <f>M15</f>
        <v>662.06484511011502</v>
      </c>
      <c r="N37" s="124">
        <f>N15</f>
        <v>681.35738411626141</v>
      </c>
      <c r="O37" s="124">
        <f>O15</f>
        <v>712.76436667905784</v>
      </c>
      <c r="P37" s="124">
        <f>P15</f>
        <v>736.36198423370547</v>
      </c>
      <c r="Q37" s="32"/>
      <c r="R37" s="32"/>
      <c r="S37" s="32"/>
      <c r="T37" s="32"/>
      <c r="U37" s="32"/>
      <c r="V37" s="16"/>
    </row>
    <row r="38" spans="1:22" s="10" customFormat="1">
      <c r="D38" s="142" t="s">
        <v>81</v>
      </c>
      <c r="E38" s="144" t="s">
        <v>165</v>
      </c>
      <c r="F38" s="145" t="s">
        <v>96</v>
      </c>
      <c r="G38" s="136"/>
      <c r="H38" s="136"/>
      <c r="I38" s="136"/>
      <c r="J38" s="136"/>
      <c r="K38" s="136"/>
      <c r="L38" s="163">
        <f>AllRev.Outturn.Waste+RCM.BlindYear.Adj.Waste+AMP6.FI.Adj.Waste+L34+L35+L36</f>
        <v>649.65529194763985</v>
      </c>
      <c r="M38" s="163">
        <f>AllRev.Outturn.Waste+RCM.BlindYear.Adj.Waste+AMP6.FI.Adj.Waste+M34+M35+M36</f>
        <v>662.06484511011502</v>
      </c>
      <c r="N38" s="163">
        <f>AllRev.Outturn.Waste+RCM.BlindYear.Adj.Waste+AMP6.FI.Adj.Waste+N34+N35+N36</f>
        <v>681.4385037316722</v>
      </c>
      <c r="O38" s="163">
        <f>AllRev.Outturn.Waste+RCM.BlindYear.Adj.Waste+AMP6.FI.Adj.Waste+O34+O35+O36</f>
        <v>709.76834280646528</v>
      </c>
      <c r="P38" s="163">
        <f>AllRev.Outturn.Waste+RCM.BlindYear.Adj.Waste+AMP6.FI.Adj.Waste+P34+P35+P36</f>
        <v>737.54506942213311</v>
      </c>
      <c r="Q38" s="32"/>
      <c r="R38" s="32"/>
      <c r="S38" s="32"/>
      <c r="T38" s="32"/>
      <c r="U38" s="32"/>
      <c r="V38" s="13" t="s">
        <v>207</v>
      </c>
    </row>
    <row r="39" spans="1:22" s="10" customFormat="1">
      <c r="D39" s="142" t="s">
        <v>81</v>
      </c>
      <c r="E39" s="144" t="s">
        <v>167</v>
      </c>
      <c r="F39" s="145" t="s">
        <v>96</v>
      </c>
      <c r="G39" s="149"/>
      <c r="H39" s="149"/>
      <c r="I39" s="149"/>
      <c r="J39" s="149"/>
      <c r="K39" s="149"/>
      <c r="L39" s="31">
        <f>IF($G33=TRUE,L38,MIN(L37:L38))</f>
        <v>649.65529194763985</v>
      </c>
      <c r="M39" s="31">
        <f t="shared" ref="M39:P39" si="7">IF($G33=TRUE,M38,MIN(M37:M38))</f>
        <v>662.06484511011502</v>
      </c>
      <c r="N39" s="31">
        <f t="shared" si="7"/>
        <v>681.4385037316722</v>
      </c>
      <c r="O39" s="31">
        <f t="shared" si="7"/>
        <v>709.76834280646528</v>
      </c>
      <c r="P39" s="31">
        <f t="shared" si="7"/>
        <v>737.54506942213311</v>
      </c>
      <c r="Q39" s="31"/>
      <c r="R39" s="31"/>
      <c r="S39" s="20"/>
      <c r="T39" s="20"/>
      <c r="U39" s="20"/>
      <c r="V39" s="13" t="s">
        <v>208</v>
      </c>
    </row>
    <row r="40" spans="1:22" s="10" customFormat="1">
      <c r="D40" s="17"/>
      <c r="E40" s="18"/>
      <c r="F40" s="39"/>
      <c r="G40" s="16"/>
      <c r="H40" s="16"/>
      <c r="I40" s="16"/>
      <c r="J40" s="16"/>
      <c r="K40" s="136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6"/>
    </row>
    <row r="41" spans="1:22" s="10" customFormat="1">
      <c r="A41" s="16"/>
      <c r="B41" s="16"/>
      <c r="C41" s="16"/>
      <c r="D41" s="17" t="s">
        <v>81</v>
      </c>
      <c r="E41" s="18" t="s">
        <v>169</v>
      </c>
      <c r="F41" s="39" t="s">
        <v>96</v>
      </c>
      <c r="G41" s="16"/>
      <c r="H41" s="16"/>
      <c r="I41" s="16"/>
      <c r="J41" s="16"/>
      <c r="K41" s="136"/>
      <c r="L41" s="31">
        <f>RecRev.Waste</f>
        <v>645.88018971435622</v>
      </c>
      <c r="M41" s="137">
        <f>RecRev.Waste</f>
        <v>661.18369731194866</v>
      </c>
      <c r="N41" s="137">
        <f>RecRev.Waste</f>
        <v>684.12699999999995</v>
      </c>
      <c r="O41" s="137">
        <f>RecRev.Waste</f>
        <v>714.39499999999998</v>
      </c>
      <c r="P41" s="137">
        <f>RecRev.Waste</f>
        <v>737.60699999999997</v>
      </c>
      <c r="Q41" s="32"/>
      <c r="R41" s="32"/>
      <c r="S41" s="32"/>
      <c r="T41" s="32"/>
      <c r="U41" s="32"/>
      <c r="V41" s="13"/>
    </row>
    <row r="42" spans="1:22" s="10" customFormat="1">
      <c r="A42" s="16"/>
      <c r="B42" s="16"/>
      <c r="C42" s="16"/>
      <c r="D42" s="17"/>
      <c r="E42" s="18"/>
      <c r="F42" s="39"/>
      <c r="G42" s="16"/>
      <c r="H42" s="16"/>
      <c r="I42" s="16"/>
      <c r="J42" s="16"/>
      <c r="K42" s="136"/>
      <c r="L42" s="32"/>
      <c r="M42" s="32"/>
      <c r="N42" s="32"/>
      <c r="O42" s="32"/>
      <c r="P42" s="32"/>
      <c r="Q42" s="124"/>
      <c r="R42" s="124"/>
      <c r="S42" s="124"/>
      <c r="T42" s="124"/>
      <c r="U42" s="124"/>
      <c r="V42" s="16"/>
    </row>
    <row r="43" spans="1:22" s="10" customFormat="1">
      <c r="A43" s="16"/>
      <c r="B43" s="16"/>
      <c r="C43" s="16"/>
      <c r="D43" s="17" t="s">
        <v>81</v>
      </c>
      <c r="E43" s="18" t="s">
        <v>170</v>
      </c>
      <c r="F43" s="39" t="s">
        <v>96</v>
      </c>
      <c r="G43" s="16"/>
      <c r="H43" s="16"/>
      <c r="I43" s="16"/>
      <c r="J43" s="16"/>
      <c r="K43" s="136"/>
      <c r="L43" s="124">
        <f t="shared" ref="L43:M43" si="8">L41-L38</f>
        <v>-3.7751022332836328</v>
      </c>
      <c r="M43" s="124">
        <f t="shared" si="8"/>
        <v>-0.88114779816635291</v>
      </c>
      <c r="N43" s="124">
        <f>N41-N38</f>
        <v>2.6884962683277536</v>
      </c>
      <c r="O43" s="124">
        <f t="shared" ref="O43:P43" si="9">O41-O38</f>
        <v>4.6266571935346974</v>
      </c>
      <c r="P43" s="124">
        <f t="shared" si="9"/>
        <v>6.1930577866860403E-2</v>
      </c>
      <c r="Q43" s="32"/>
      <c r="R43" s="32"/>
      <c r="S43" s="32"/>
      <c r="T43" s="32"/>
      <c r="U43" s="32"/>
      <c r="V43" s="16"/>
    </row>
    <row r="44" spans="1:22" s="19" customFormat="1">
      <c r="A44" s="16"/>
      <c r="B44" s="16"/>
      <c r="C44" s="16"/>
      <c r="D44" s="17" t="s">
        <v>68</v>
      </c>
      <c r="E44" s="18" t="s">
        <v>171</v>
      </c>
      <c r="F44" s="39"/>
      <c r="G44" s="16"/>
      <c r="H44" s="16"/>
      <c r="I44" s="16"/>
      <c r="J44" s="16"/>
      <c r="K44" s="136"/>
      <c r="L44" s="138">
        <f>IF(L38=0,0,L43/L38)</f>
        <v>-5.8109312431921115E-3</v>
      </c>
      <c r="M44" s="138">
        <f t="shared" ref="M44:P44" si="10">IF(M38=0,0,M43/M38)</f>
        <v>-1.3309086030988398E-3</v>
      </c>
      <c r="N44" s="138">
        <f t="shared" si="10"/>
        <v>3.9453248585236888E-3</v>
      </c>
      <c r="O44" s="138">
        <f t="shared" si="10"/>
        <v>6.5185454386999372E-3</v>
      </c>
      <c r="P44" s="138">
        <f t="shared" si="10"/>
        <v>8.3968533496377439E-5</v>
      </c>
      <c r="Q44" s="32"/>
      <c r="R44" s="32"/>
      <c r="S44" s="32"/>
      <c r="T44" s="32"/>
      <c r="U44" s="32"/>
      <c r="V44" s="13" t="s">
        <v>209</v>
      </c>
    </row>
    <row r="45" spans="1:22" s="25" customFormat="1">
      <c r="A45" s="16"/>
      <c r="B45" s="16"/>
      <c r="C45" s="16"/>
      <c r="D45" s="17"/>
      <c r="E45" s="18"/>
      <c r="F45" s="41"/>
      <c r="K45" s="136"/>
      <c r="L45" s="138"/>
      <c r="M45" s="138"/>
      <c r="N45" s="138"/>
      <c r="O45" s="138"/>
      <c r="P45" s="138"/>
      <c r="Q45" s="124"/>
      <c r="R45" s="124"/>
      <c r="S45" s="124"/>
      <c r="T45" s="124"/>
      <c r="U45" s="124"/>
      <c r="V45" s="13"/>
    </row>
    <row r="46" spans="1:22" s="25" customFormat="1">
      <c r="A46" s="16"/>
      <c r="B46" s="16"/>
      <c r="C46" s="16"/>
      <c r="D46" s="17"/>
      <c r="E46" s="34" t="s">
        <v>173</v>
      </c>
      <c r="F46" s="41"/>
      <c r="K46" s="136"/>
      <c r="L46" s="138"/>
      <c r="M46" s="138"/>
      <c r="N46" s="138"/>
      <c r="O46" s="138"/>
      <c r="P46" s="138"/>
      <c r="Q46" s="124"/>
      <c r="R46" s="124"/>
      <c r="S46" s="124"/>
      <c r="T46" s="124"/>
      <c r="U46" s="124"/>
      <c r="V46" s="13"/>
    </row>
    <row r="47" spans="1:22" s="25" customFormat="1">
      <c r="A47" s="16"/>
      <c r="B47" s="16"/>
      <c r="C47" s="16"/>
      <c r="D47" s="17" t="s">
        <v>81</v>
      </c>
      <c r="E47" s="18" t="s">
        <v>174</v>
      </c>
      <c r="F47" s="39" t="s">
        <v>96</v>
      </c>
      <c r="J47" s="26">
        <v>0</v>
      </c>
      <c r="K47" s="26">
        <v>0</v>
      </c>
      <c r="L47" s="31">
        <f>0-L43*(1+Discount.Rate)*(1+Discount.Rate)</f>
        <v>4.0518021265743904</v>
      </c>
      <c r="M47" s="31">
        <f>0-M43*(1+Discount.Rate)*(1+Discount.Rate)</f>
        <v>0.94573240718075391</v>
      </c>
      <c r="N47" s="31">
        <f>0-N43*(1+Discount.Rate)*(1+Discount.Rate)</f>
        <v>-2.8855522908111046</v>
      </c>
      <c r="O47" s="26"/>
      <c r="P47" s="26"/>
      <c r="Q47" s="124"/>
      <c r="R47" s="124"/>
      <c r="S47" s="124"/>
      <c r="T47" s="124"/>
      <c r="U47" s="124"/>
      <c r="V47" s="13"/>
    </row>
    <row r="48" spans="1:22">
      <c r="A48" s="16"/>
      <c r="B48" s="16"/>
      <c r="C48" s="16"/>
      <c r="D48" s="17" t="s">
        <v>81</v>
      </c>
      <c r="E48" s="18" t="s">
        <v>175</v>
      </c>
      <c r="F48" s="39" t="s">
        <v>176</v>
      </c>
      <c r="G48" s="25"/>
      <c r="H48" s="25"/>
      <c r="I48" s="25"/>
      <c r="J48" s="112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4.1841830595313132</v>
      </c>
      <c r="M48" s="31">
        <f>M47*INDEX(Indexation.November.Actual.YearOnYear,,MATCH(N$5,Calendar.Years,0))*(INDEX(Indexation.November.Actual.YearOnYear,,MATCH(O$5,Calendar.Years,0)))</f>
        <v>1.0039761274074361</v>
      </c>
      <c r="N48" s="31">
        <f>N47*INDEX(Indexation.November.Actual.YearOnYear,,MATCH(O$5,Calendar.Years,0))*(INDEX(Indexation.November.Actual.YearOnYear,,MATCH(P$5,Calendar.Years,0)))</f>
        <v>-3.0931381618261407</v>
      </c>
      <c r="O48" s="26"/>
      <c r="P48" s="26"/>
    </row>
    <row r="49" spans="1:21">
      <c r="A49" s="16"/>
      <c r="B49" s="16"/>
      <c r="C49" s="16"/>
      <c r="D49" s="17" t="s">
        <v>81</v>
      </c>
      <c r="E49" s="18" t="s">
        <v>177</v>
      </c>
      <c r="F49" s="39" t="s">
        <v>96</v>
      </c>
      <c r="G49" s="25"/>
      <c r="H49" s="25"/>
      <c r="I49" s="25"/>
      <c r="J49" s="26"/>
      <c r="K49" s="26"/>
      <c r="L49" s="26"/>
      <c r="M49" s="26"/>
      <c r="N49" s="31">
        <f>L48</f>
        <v>4.1841830595313132</v>
      </c>
      <c r="O49" s="31">
        <f>M48</f>
        <v>1.0039761274074361</v>
      </c>
      <c r="P49" s="31">
        <f>N48</f>
        <v>-3.0931381618261407</v>
      </c>
    </row>
    <row r="50" spans="1:21">
      <c r="A50" s="16"/>
      <c r="B50" s="16"/>
      <c r="C50" s="16"/>
      <c r="D50" s="17"/>
      <c r="E50" s="21"/>
      <c r="F50" s="39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21">
      <c r="A51" s="16"/>
      <c r="B51" s="16"/>
      <c r="C51" s="16"/>
      <c r="D51" s="17"/>
      <c r="E51" s="34" t="s">
        <v>178</v>
      </c>
      <c r="F51" s="39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21">
      <c r="A52" s="16"/>
      <c r="B52" s="16"/>
      <c r="C52" s="16"/>
      <c r="D52" s="17" t="s">
        <v>68</v>
      </c>
      <c r="E52" s="18" t="s">
        <v>179</v>
      </c>
      <c r="F52" s="39"/>
      <c r="G52" s="25"/>
      <c r="H52" s="25"/>
      <c r="I52" s="25"/>
      <c r="J52" s="25"/>
      <c r="K52" s="25"/>
      <c r="L52" s="138">
        <f>IF(L39=0,0,ABS((L41-L39)/L39))</f>
        <v>5.8109312431921115E-3</v>
      </c>
      <c r="M52" s="138">
        <f t="shared" ref="M52:P52" si="11">IF(M39=0,0,ABS((M41-M39)/M39))</f>
        <v>1.3309086030988398E-3</v>
      </c>
      <c r="N52" s="138">
        <f t="shared" si="11"/>
        <v>3.9453248585236888E-3</v>
      </c>
      <c r="O52" s="138">
        <f t="shared" si="11"/>
        <v>6.5185454386999372E-3</v>
      </c>
      <c r="P52" s="138">
        <f t="shared" si="11"/>
        <v>8.3968533496377439E-5</v>
      </c>
    </row>
    <row r="53" spans="1:21">
      <c r="A53" s="16"/>
      <c r="B53" s="16"/>
      <c r="C53" s="16"/>
      <c r="D53" s="23" t="s">
        <v>180</v>
      </c>
      <c r="E53" s="18" t="s">
        <v>181</v>
      </c>
      <c r="F53" s="39"/>
      <c r="G53" s="16"/>
      <c r="H53" s="16"/>
      <c r="I53" s="16"/>
      <c r="J53" s="16"/>
      <c r="K53" s="136"/>
      <c r="L53" s="140" t="b">
        <f>L52&gt;Threshold.Min</f>
        <v>0</v>
      </c>
      <c r="M53" s="140" t="b">
        <f>M52&gt;Threshold.Min</f>
        <v>0</v>
      </c>
      <c r="N53" s="140" t="b">
        <f>N52&gt;Threshold.Min</f>
        <v>0</v>
      </c>
      <c r="O53" s="140" t="b">
        <f>O52&gt;Threshold.Min</f>
        <v>0</v>
      </c>
      <c r="P53" s="140" t="b">
        <f>P52&gt;Threshold.Min</f>
        <v>0</v>
      </c>
      <c r="Q53" s="32"/>
      <c r="R53" s="32"/>
      <c r="S53" s="32"/>
      <c r="T53" s="32"/>
      <c r="U53" s="32"/>
    </row>
    <row r="54" spans="1:21">
      <c r="A54" s="16"/>
      <c r="B54" s="16"/>
      <c r="C54" s="16"/>
      <c r="D54" s="17" t="s">
        <v>68</v>
      </c>
      <c r="E54" s="18" t="s">
        <v>182</v>
      </c>
      <c r="F54" s="41"/>
      <c r="K54" s="136"/>
      <c r="L54" s="138">
        <f>L53*Penalty.Rate.General*MIN(1,(L52-Threshold.Min)/(Threshold.Max-Threshold.Min))</f>
        <v>0</v>
      </c>
      <c r="M54" s="138">
        <f>M53*Penalty.Rate.General*MIN(1,(M52-Threshold.Min)/(Threshold.Max-Threshold.Min))</f>
        <v>0</v>
      </c>
      <c r="N54" s="138">
        <f>N53*Penalty.Rate.General*MIN(1,(N52-Threshold.Min)/(Threshold.Max-Threshold.Min))</f>
        <v>0</v>
      </c>
      <c r="O54" s="138">
        <f>O53*Penalty.Rate.General*MIN(1,(O52-Threshold.Min)/(Threshold.Max-Threshold.Min))</f>
        <v>0</v>
      </c>
      <c r="P54" s="138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1">
      <c r="A55" s="16"/>
      <c r="B55" s="16"/>
      <c r="C55" s="16"/>
      <c r="D55" s="17"/>
      <c r="E55" s="34"/>
      <c r="F55" s="39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21">
      <c r="A56" s="16"/>
      <c r="B56" s="16"/>
      <c r="C56" s="16"/>
      <c r="D56" s="17" t="s">
        <v>81</v>
      </c>
      <c r="E56" s="18" t="s">
        <v>183</v>
      </c>
      <c r="F56" s="39" t="s">
        <v>96</v>
      </c>
      <c r="G56" s="25"/>
      <c r="H56" s="25"/>
      <c r="I56" s="25"/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0</v>
      </c>
    </row>
    <row r="57" spans="1:21">
      <c r="A57" s="16"/>
      <c r="B57" s="16"/>
      <c r="C57" s="16"/>
      <c r="D57" s="17" t="s">
        <v>81</v>
      </c>
      <c r="E57" s="18" t="s">
        <v>184</v>
      </c>
      <c r="F57" s="39" t="s">
        <v>96</v>
      </c>
      <c r="G57" s="25"/>
      <c r="H57" s="25"/>
      <c r="I57" s="25"/>
      <c r="J57" s="112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</row>
    <row r="58" spans="1:21">
      <c r="A58" s="16"/>
      <c r="B58" s="16"/>
      <c r="C58" s="16"/>
      <c r="D58" s="17" t="s">
        <v>81</v>
      </c>
      <c r="E58" s="18" t="s">
        <v>185</v>
      </c>
      <c r="F58" s="39" t="s">
        <v>96</v>
      </c>
      <c r="G58" s="25"/>
      <c r="H58" s="25"/>
      <c r="I58" s="25"/>
      <c r="J58" s="26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</row>
    <row r="59" spans="1:21">
      <c r="A59" s="16"/>
      <c r="B59" s="16"/>
      <c r="C59" s="16"/>
      <c r="D59" s="17" t="s">
        <v>81</v>
      </c>
      <c r="E59" s="18" t="s">
        <v>186</v>
      </c>
      <c r="F59" s="39" t="s">
        <v>96</v>
      </c>
      <c r="G59" s="25"/>
      <c r="H59" s="25"/>
      <c r="I59" s="25"/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</row>
    <row r="60" spans="1:21">
      <c r="A60" s="16"/>
      <c r="B60" s="16"/>
      <c r="C60" s="16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21">
      <c r="A61" s="16"/>
      <c r="B61" s="16"/>
      <c r="C61" s="16"/>
      <c r="D61" s="25"/>
      <c r="E61" s="34" t="s">
        <v>187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21">
      <c r="A62" s="16"/>
      <c r="B62" s="16"/>
      <c r="C62" s="16"/>
      <c r="D62" s="17" t="s">
        <v>81</v>
      </c>
      <c r="E62" s="18" t="s">
        <v>177</v>
      </c>
      <c r="F62" s="39" t="s">
        <v>96</v>
      </c>
      <c r="G62" s="25"/>
      <c r="H62" s="25"/>
      <c r="I62" s="25"/>
      <c r="J62" s="25"/>
      <c r="K62" s="25"/>
      <c r="L62" s="26"/>
      <c r="M62" s="26"/>
      <c r="N62" s="31">
        <f>N49</f>
        <v>4.1841830595313132</v>
      </c>
      <c r="O62" s="31">
        <f>O49</f>
        <v>1.0039761274074361</v>
      </c>
      <c r="P62" s="31">
        <f>P49</f>
        <v>-3.0931381618261407</v>
      </c>
    </row>
    <row r="63" spans="1:21">
      <c r="A63" s="16"/>
      <c r="B63" s="16"/>
      <c r="C63" s="16"/>
      <c r="D63" s="17" t="s">
        <v>81</v>
      </c>
      <c r="E63" s="18" t="s">
        <v>186</v>
      </c>
      <c r="F63" s="39" t="s">
        <v>96</v>
      </c>
      <c r="G63" s="25"/>
      <c r="H63" s="25"/>
      <c r="I63" s="25"/>
      <c r="J63" s="25"/>
      <c r="K63" s="25"/>
      <c r="L63" s="26"/>
      <c r="M63" s="26"/>
      <c r="N63" s="31">
        <f>N59</f>
        <v>0</v>
      </c>
      <c r="O63" s="31">
        <f>O59</f>
        <v>0</v>
      </c>
      <c r="P63" s="31">
        <f>P59</f>
        <v>0</v>
      </c>
    </row>
    <row r="64" spans="1:21">
      <c r="A64" s="16"/>
      <c r="B64" s="16"/>
      <c r="C64" s="16"/>
      <c r="D64" s="17" t="s">
        <v>81</v>
      </c>
      <c r="E64" s="18" t="s">
        <v>188</v>
      </c>
      <c r="F64" s="39" t="s">
        <v>96</v>
      </c>
      <c r="K64" s="136"/>
      <c r="L64" s="26"/>
      <c r="M64" s="26"/>
      <c r="N64" s="31">
        <f>SUM(N62:N63)</f>
        <v>4.1841830595313132</v>
      </c>
      <c r="O64" s="31">
        <f>SUM(O62:O63)</f>
        <v>1.0039761274074361</v>
      </c>
      <c r="P64" s="31">
        <f>SUM(P62:P63)</f>
        <v>-3.0931381618261407</v>
      </c>
    </row>
    <row r="65" spans="1:23">
      <c r="A65" s="16"/>
      <c r="B65" s="16"/>
      <c r="C65" s="16"/>
      <c r="F65" s="41"/>
      <c r="K65" s="136"/>
    </row>
    <row r="66" spans="1:23">
      <c r="E66" s="39" t="s">
        <v>189</v>
      </c>
      <c r="F66" s="41"/>
      <c r="K66" s="136"/>
    </row>
    <row r="67" spans="1:23">
      <c r="D67" s="23" t="s">
        <v>180</v>
      </c>
      <c r="E67" s="18" t="s">
        <v>190</v>
      </c>
      <c r="F67" s="41"/>
      <c r="K67" s="136"/>
      <c r="L67" s="140" t="b">
        <f>ABS(Perc.Recovered.Waste)&gt;Additional.Analysis</f>
        <v>0</v>
      </c>
      <c r="M67" s="140" t="b">
        <f>ABS(Perc.Recovered.Waste)&gt;Additional.Analysis</f>
        <v>0</v>
      </c>
      <c r="N67" s="140" t="b">
        <f>ABS(Perc.Recovered.Waste)&gt;Additional.Analysis</f>
        <v>0</v>
      </c>
      <c r="O67" s="140" t="b">
        <f>ABS(Perc.Recovered.Waste)&gt;Additional.Analysis</f>
        <v>0</v>
      </c>
      <c r="P67" s="140" t="b">
        <f>ABS(Perc.Recovered.Waste)&gt;Additional.Analysis</f>
        <v>0</v>
      </c>
    </row>
    <row r="68" spans="1:23">
      <c r="D68" s="23"/>
      <c r="E68" s="18"/>
      <c r="F68" s="41"/>
    </row>
    <row r="69" spans="1:23" s="7" customFormat="1" ht="15">
      <c r="A69" s="130"/>
      <c r="B69" s="8"/>
      <c r="C69" s="8"/>
      <c r="D69" s="134"/>
      <c r="E69" s="131" t="s">
        <v>191</v>
      </c>
      <c r="F69" s="132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  <c r="F70" s="41"/>
    </row>
    <row r="71" spans="1:23">
      <c r="E71" s="39" t="s">
        <v>192</v>
      </c>
      <c r="F71" s="41"/>
    </row>
    <row r="72" spans="1:23">
      <c r="D72" s="17" t="s">
        <v>81</v>
      </c>
      <c r="E72" s="18" t="s">
        <v>193</v>
      </c>
      <c r="F72" s="39" t="s">
        <v>96</v>
      </c>
      <c r="L72" s="26"/>
      <c r="M72" s="26"/>
      <c r="N72" s="26"/>
      <c r="O72" s="26"/>
      <c r="P72" s="31">
        <f>0-O43*(1+Discount.Rate)*Indexation.November.Actual.YearOnYear</f>
        <v>-4.9461548811532055</v>
      </c>
    </row>
    <row r="73" spans="1:23">
      <c r="D73" s="17" t="s">
        <v>81</v>
      </c>
      <c r="E73" s="18" t="s">
        <v>194</v>
      </c>
      <c r="F73" s="39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39" t="s">
        <v>96</v>
      </c>
      <c r="L74" s="26"/>
      <c r="M74" s="26"/>
      <c r="N74" s="26"/>
      <c r="O74" s="26"/>
      <c r="P74" s="31">
        <f>SUM(P72:P73)</f>
        <v>-4.9461548811532055</v>
      </c>
    </row>
    <row r="75" spans="1:23">
      <c r="F75" s="41"/>
    </row>
    <row r="76" spans="1:23">
      <c r="E76" s="39" t="s">
        <v>196</v>
      </c>
      <c r="F76" s="41"/>
    </row>
    <row r="77" spans="1:23">
      <c r="D77" s="17" t="s">
        <v>81</v>
      </c>
      <c r="E77" s="18" t="s">
        <v>197</v>
      </c>
      <c r="F77" s="39" t="s">
        <v>96</v>
      </c>
      <c r="L77" s="26"/>
      <c r="M77" s="26"/>
      <c r="N77" s="26"/>
      <c r="O77" s="26"/>
      <c r="P77" s="31">
        <f>0-P43</f>
        <v>-6.1930577866860403E-2</v>
      </c>
    </row>
    <row r="78" spans="1:23">
      <c r="D78" s="17" t="s">
        <v>81</v>
      </c>
      <c r="E78" s="18" t="s">
        <v>198</v>
      </c>
      <c r="F78" s="39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39" t="s">
        <v>96</v>
      </c>
      <c r="L79" s="26"/>
      <c r="M79" s="26"/>
      <c r="N79" s="26"/>
      <c r="O79" s="26"/>
      <c r="P79" s="31">
        <f>SUM(P77:P78)</f>
        <v>-6.1930577866860403E-2</v>
      </c>
    </row>
    <row r="80" spans="1:23">
      <c r="E80" s="18"/>
      <c r="F80" s="41"/>
    </row>
    <row r="81" spans="1:23">
      <c r="E81" s="39" t="s">
        <v>245</v>
      </c>
      <c r="F81" s="41"/>
    </row>
    <row r="82" spans="1:23">
      <c r="D82" s="17" t="s">
        <v>81</v>
      </c>
      <c r="E82" s="168" t="str">
        <f>E28</f>
        <v>AMP5 RCM adjustment to be applied at PR19 (Outturn price base)</v>
      </c>
      <c r="F82" s="39" t="s">
        <v>96</v>
      </c>
      <c r="L82" s="26"/>
      <c r="M82" s="26"/>
      <c r="N82" s="26"/>
      <c r="O82" s="26"/>
      <c r="P82" s="169">
        <f>P28</f>
        <v>0</v>
      </c>
    </row>
    <row r="83" spans="1:23">
      <c r="E83" s="18"/>
      <c r="F83" s="41"/>
    </row>
    <row r="84" spans="1:23">
      <c r="D84" s="17" t="s">
        <v>81</v>
      </c>
      <c r="E84" s="34" t="s">
        <v>200</v>
      </c>
      <c r="F84" s="39" t="s">
        <v>96</v>
      </c>
      <c r="L84" s="26"/>
      <c r="M84" s="26"/>
      <c r="N84" s="26"/>
      <c r="O84" s="26"/>
      <c r="P84" s="169">
        <f>SUM(P74,P79,P82)</f>
        <v>-5.0080854590200659</v>
      </c>
      <c r="Q84" s="13" t="s">
        <v>210</v>
      </c>
    </row>
    <row r="85" spans="1:23" ht="13.5" thickBot="1">
      <c r="E85" s="22"/>
      <c r="F85" s="41"/>
    </row>
    <row r="86" spans="1:23" ht="13.5" thickBot="1">
      <c r="A86" s="11" t="s">
        <v>111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</sheetData>
  <conditionalFormatting sqref="L67:P67">
    <cfRule type="cellIs" dxfId="1" priority="2" operator="equal">
      <formula>TRUE</formula>
    </cfRule>
  </conditionalFormatting>
  <conditionalFormatting sqref="L53:P5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6" customWidth="1"/>
    <col min="3" max="3" width="8" style="36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5"/>
    </row>
    <row r="2" spans="1:24" ht="15">
      <c r="A2" s="37"/>
      <c r="B2" s="37"/>
      <c r="C2" s="37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7"/>
      <c r="B3" s="37"/>
      <c r="C3" s="37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7"/>
      <c r="B4" s="37"/>
      <c r="C4" s="37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7"/>
      <c r="B5" s="37"/>
      <c r="C5" s="37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7"/>
      <c r="B6" s="37"/>
      <c r="C6" s="37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7"/>
      <c r="B7" s="37"/>
      <c r="C7" s="37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7"/>
      <c r="B8" s="37"/>
      <c r="C8" s="37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7"/>
      <c r="B9" s="37"/>
      <c r="C9" s="37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7"/>
      <c r="B10" s="37"/>
      <c r="C10" s="37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7"/>
      <c r="B11" s="37"/>
      <c r="C11" s="37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7"/>
      <c r="B12" s="37"/>
      <c r="C12" s="37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7"/>
      <c r="B13" s="37"/>
      <c r="C13" s="37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7"/>
      <c r="B14" s="37"/>
      <c r="C14" s="37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7"/>
      <c r="B15" s="37"/>
      <c r="C15" s="37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2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0" customHeight="1" zeroHeight="1"/>
  <cols>
    <col min="1" max="3" width="2.7109375" style="10" customWidth="1"/>
    <col min="4" max="4" width="9.7109375" style="10" customWidth="1"/>
    <col min="5" max="5" width="49.28515625" style="10" customWidth="1"/>
    <col min="6" max="6" width="15.85546875" style="39" customWidth="1"/>
    <col min="7" max="8" width="2.7109375" style="10" customWidth="1"/>
    <col min="9" max="21" width="9.7109375" style="10" customWidth="1"/>
    <col min="22" max="22" width="15.85546875" style="10" customWidth="1"/>
    <col min="23" max="16384" width="9.140625" style="10" hidden="1"/>
  </cols>
  <sheetData>
    <row r="1" spans="1:24" ht="33.75">
      <c r="A1" s="1"/>
      <c r="B1" s="1"/>
      <c r="C1" s="1"/>
      <c r="D1" s="28" t="s">
        <v>211</v>
      </c>
      <c r="E1" s="28"/>
      <c r="F1" s="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6"/>
      <c r="X1" s="16"/>
    </row>
    <row r="2" spans="1:24" ht="15">
      <c r="A2" s="2"/>
      <c r="B2" s="2"/>
      <c r="C2" s="2"/>
      <c r="D2" s="2"/>
      <c r="E2" s="2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  <c r="W2" s="16"/>
      <c r="X2" s="16"/>
    </row>
    <row r="3" spans="1:24" ht="12.75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  <c r="X3" s="16"/>
    </row>
    <row r="4" spans="1:24" ht="12.75">
      <c r="A4" s="16"/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  <c r="X4" s="16"/>
    </row>
    <row r="5" spans="1:24" ht="12.75">
      <c r="A5" s="16"/>
      <c r="B5" s="16"/>
      <c r="C5" s="16"/>
      <c r="D5" s="16"/>
      <c r="E5" s="16" t="s">
        <v>58</v>
      </c>
      <c r="G5" s="16"/>
      <c r="H5" s="16"/>
      <c r="I5" s="142">
        <f t="shared" ref="I5:U5" si="1">Calendar.Years</f>
        <v>2012</v>
      </c>
      <c r="J5" s="142">
        <f t="shared" si="1"/>
        <v>2013</v>
      </c>
      <c r="K5" s="142">
        <f t="shared" si="1"/>
        <v>2014</v>
      </c>
      <c r="L5" s="142">
        <f t="shared" si="1"/>
        <v>2015</v>
      </c>
      <c r="M5" s="142">
        <f t="shared" si="1"/>
        <v>2016</v>
      </c>
      <c r="N5" s="142">
        <f t="shared" si="1"/>
        <v>2017</v>
      </c>
      <c r="O5" s="142">
        <f t="shared" si="1"/>
        <v>2018</v>
      </c>
      <c r="P5" s="142">
        <f t="shared" si="1"/>
        <v>2019</v>
      </c>
      <c r="Q5" s="142">
        <f t="shared" si="1"/>
        <v>2020</v>
      </c>
      <c r="R5" s="142">
        <f t="shared" si="1"/>
        <v>2021</v>
      </c>
      <c r="S5" s="142">
        <f t="shared" si="1"/>
        <v>2022</v>
      </c>
      <c r="T5" s="142">
        <f t="shared" si="1"/>
        <v>2023</v>
      </c>
      <c r="U5" s="142">
        <f t="shared" si="1"/>
        <v>2024</v>
      </c>
      <c r="V5" s="13"/>
      <c r="W5" s="16"/>
      <c r="X5" s="16"/>
    </row>
    <row r="6" spans="1:24" ht="12.75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29">
        <v>1</v>
      </c>
      <c r="M6" s="129">
        <v>2</v>
      </c>
      <c r="N6" s="129">
        <v>3</v>
      </c>
      <c r="O6" s="129">
        <v>4</v>
      </c>
      <c r="P6" s="129">
        <v>5</v>
      </c>
      <c r="Q6" s="129">
        <v>6</v>
      </c>
      <c r="R6" s="129">
        <v>7</v>
      </c>
      <c r="S6" s="129">
        <v>8</v>
      </c>
      <c r="T6" s="129">
        <v>9</v>
      </c>
      <c r="U6" s="129">
        <v>10</v>
      </c>
      <c r="V6" s="16"/>
      <c r="W6" s="16"/>
      <c r="X6" s="16"/>
    </row>
    <row r="7" spans="1:24" ht="12.75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7" customFormat="1" ht="15">
      <c r="A8" s="130"/>
      <c r="B8" s="8"/>
      <c r="C8" s="8"/>
      <c r="D8" s="134"/>
      <c r="E8" s="131" t="s">
        <v>212</v>
      </c>
      <c r="F8" s="132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  <c r="X8" s="27"/>
    </row>
    <row r="9" spans="1:24" ht="12.75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2.75">
      <c r="A10" s="16"/>
      <c r="B10" s="16"/>
      <c r="C10" s="16"/>
      <c r="D10" s="17" t="s">
        <v>81</v>
      </c>
      <c r="E10" s="34" t="s">
        <v>213</v>
      </c>
      <c r="F10" s="39" t="s">
        <v>96</v>
      </c>
      <c r="G10" s="16"/>
      <c r="H10" s="16"/>
      <c r="I10" s="16"/>
      <c r="J10" s="16"/>
      <c r="K10" s="16"/>
      <c r="L10" s="26"/>
      <c r="M10" s="26"/>
      <c r="N10" s="26"/>
      <c r="O10" s="26"/>
      <c r="P10" s="31">
        <f>WRFIM.Water</f>
        <v>-10.163778467375668</v>
      </c>
      <c r="Q10" s="16"/>
      <c r="R10" s="16"/>
      <c r="S10" s="16"/>
      <c r="T10" s="16"/>
      <c r="U10" s="16"/>
      <c r="V10" s="16"/>
      <c r="W10" s="16"/>
      <c r="X10" s="16"/>
    </row>
    <row r="11" spans="1:24" ht="12.75">
      <c r="A11" s="16"/>
      <c r="B11" s="16"/>
      <c r="C11" s="16"/>
      <c r="D11" s="16"/>
      <c r="E11" s="16"/>
      <c r="G11" s="16"/>
      <c r="H11" s="16"/>
      <c r="I11" s="16"/>
      <c r="J11" s="16"/>
      <c r="K11" s="16"/>
      <c r="L11" s="16"/>
      <c r="M11" s="16"/>
      <c r="N11" s="16"/>
      <c r="O11" s="16"/>
      <c r="P11" s="31"/>
      <c r="Q11" s="16"/>
      <c r="R11" s="16"/>
      <c r="S11" s="16"/>
      <c r="T11" s="16"/>
      <c r="U11" s="16"/>
      <c r="V11" s="16"/>
      <c r="W11" s="16"/>
      <c r="X11" s="16"/>
    </row>
    <row r="12" spans="1:24" ht="12.75">
      <c r="A12" s="16"/>
      <c r="B12" s="16"/>
      <c r="C12" s="16"/>
      <c r="D12" s="17" t="s">
        <v>81</v>
      </c>
      <c r="E12" s="34" t="s">
        <v>214</v>
      </c>
      <c r="F12" s="39" t="s">
        <v>96</v>
      </c>
      <c r="G12" s="16"/>
      <c r="H12" s="16"/>
      <c r="I12" s="16"/>
      <c r="J12" s="16"/>
      <c r="K12" s="16"/>
      <c r="L12" s="26"/>
      <c r="M12" s="26"/>
      <c r="N12" s="26"/>
      <c r="O12" s="26"/>
      <c r="P12" s="31">
        <f>WRFIM.Waste</f>
        <v>-5.0080854590200659</v>
      </c>
      <c r="Q12" s="16"/>
      <c r="R12" s="16"/>
      <c r="S12" s="16"/>
      <c r="T12" s="16"/>
      <c r="U12" s="16"/>
      <c r="V12" s="16"/>
      <c r="W12" s="16"/>
      <c r="X12" s="16"/>
    </row>
    <row r="13" spans="1:24" ht="13.5" thickBot="1">
      <c r="A13" s="16"/>
      <c r="B13" s="16"/>
      <c r="C13" s="16"/>
      <c r="D13" s="16"/>
      <c r="E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5" thickBot="1">
      <c r="A14" s="11" t="s">
        <v>111</v>
      </c>
      <c r="B14" s="12"/>
      <c r="C14" s="12"/>
      <c r="D14" s="12"/>
      <c r="E14" s="12"/>
      <c r="F14" s="40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6"/>
      <c r="X14" s="16"/>
    </row>
    <row r="15" spans="1:24" ht="12.75">
      <c r="A15" s="16"/>
      <c r="B15" s="16"/>
      <c r="C15" s="16"/>
      <c r="D15" s="16"/>
      <c r="E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2.75" hidden="1" customHeight="1">
      <c r="A16" s="16"/>
      <c r="B16" s="16"/>
      <c r="C16" s="16"/>
      <c r="D16" s="16"/>
      <c r="E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low-up xmlns="7041854e-4853-44f9-9e63-23b7acad5461">false</Follow-up>
    <SharedWithUsers xmlns="11354919-975d-48ee-8859-4dc7ad3be72c">
      <UserInfo>
        <DisplayName>Laura Masters</DisplayName>
        <AccountId>118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59CEB6AF4904D959C69B0A08A8CCB" ma:contentTypeVersion="4" ma:contentTypeDescription="Create a new document." ma:contentTypeScope="" ma:versionID="691c0c1e7ecdb40bce83cf804e0b80b4">
  <xsd:schema xmlns:xsd="http://www.w3.org/2001/XMLSchema" xmlns:xs="http://www.w3.org/2001/XMLSchema" xmlns:p="http://schemas.microsoft.com/office/2006/metadata/properties" xmlns:ns2="c4db2f36-4f1b-4952-9c2e-3e74eec32ed2" xmlns:ns3="11354919-975d-48ee-8859-4dc7ad3be72c" xmlns:ns4="7041854e-4853-44f9-9e63-23b7acad5461" targetNamespace="http://schemas.microsoft.com/office/2006/metadata/properties" ma:root="true" ma:fieldsID="18c231cca96ebc899d6938df6224f47a" ns2:_="" ns3:_="" ns4:_="">
    <xsd:import namespace="c4db2f36-4f1b-4952-9c2e-3e74eec32ed2"/>
    <xsd:import namespace="11354919-975d-48ee-8859-4dc7ad3be72c"/>
    <xsd:import namespace="7041854e-4853-44f9-9e63-23b7acad54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Follow-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b2f36-4f1b-4952-9c2e-3e74eec32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54919-975d-48ee-8859-4dc7ad3be7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854e-4853-44f9-9e63-23b7acad5461" elementFormDefault="qualified">
    <xsd:import namespace="http://schemas.microsoft.com/office/2006/documentManagement/types"/>
    <xsd:import namespace="http://schemas.microsoft.com/office/infopath/2007/PartnerControls"/>
    <xsd:element name="Follow-up" ma:index="12" nillable="true" ma:displayName="Priority Flag" ma:default="0" ma:internalName="Follow_x002d_up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82B82369-497D-47D8-9312-ADC65EA94878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4db2f36-4f1b-4952-9c2e-3e74eec32ed2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7041854e-4853-44f9-9e63-23b7acad5461"/>
    <ds:schemaRef ds:uri="11354919-975d-48ee-8859-4dc7ad3be72c"/>
  </ds:schemaRefs>
</ds:datastoreItem>
</file>

<file path=customXml/itemProps2.xml><?xml version="1.0" encoding="utf-8"?>
<ds:datastoreItem xmlns:ds="http://schemas.openxmlformats.org/officeDocument/2006/customXml" ds:itemID="{714A3EA6-99A4-43E6-95FD-2245F2314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1858F2-D9B5-4A64-8ABE-E98E9859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db2f36-4f1b-4952-9c2e-3e74eec32ed2"/>
    <ds:schemaRef ds:uri="11354919-975d-48ee-8859-4dc7ad3be72c"/>
    <ds:schemaRef ds:uri="7041854e-4853-44f9-9e63-23b7acad5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CD35813-983C-4436-9D99-5576B497C496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43</vt:i4>
      </vt:variant>
    </vt:vector>
  </HeadingPairs>
  <TitlesOfParts>
    <vt:vector size="54" baseType="lpstr">
      <vt:lpstr>Change Log</vt:lpstr>
      <vt:lpstr>Inputs &gt;</vt:lpstr>
      <vt:lpstr>Data</vt:lpstr>
      <vt:lpstr>RPI</vt:lpstr>
      <vt:lpstr>Calcs &gt;</vt:lpstr>
      <vt:lpstr>WRFIM - Water</vt:lpstr>
      <vt:lpstr>WRFIM - Waste</vt:lpstr>
      <vt:lpstr>Output &gt;</vt:lpstr>
      <vt:lpstr>WFRIM adjustments</vt:lpstr>
      <vt:lpstr>Other &gt;</vt:lpstr>
      <vt:lpstr>Timeline</vt:lpstr>
      <vt:lpstr>Additional.Analysis</vt:lpstr>
      <vt:lpstr>Adj.AllRev.Waste</vt:lpstr>
      <vt:lpstr>Adj.AllRev.Water</vt:lpstr>
      <vt:lpstr>AllRev.Outturn.Waste</vt:lpstr>
      <vt:lpstr>AllRev.Outturn.Water</vt:lpstr>
      <vt:lpstr>AllRev.Waste</vt:lpstr>
      <vt:lpstr>AllRev.Water</vt:lpstr>
      <vt:lpstr>AMP.Years</vt:lpstr>
      <vt:lpstr>AMP5.RCM.Adj.Waste</vt:lpstr>
      <vt:lpstr>AMP5.RCM.Adj.Water</vt:lpstr>
      <vt:lpstr>AMP6.FI.Adj.Waste</vt:lpstr>
      <vt:lpstr>AMP6.FI.Adj.Water</vt:lpstr>
      <vt:lpstr>Baseline.AllRev.Waste</vt:lpstr>
      <vt:lpstr>Baseline.AllRev.Water</vt:lpstr>
      <vt:lpstr>BlindYear.1415.Adj.Waste</vt:lpstr>
      <vt:lpstr>BlindYear.1415.Adj.Water</vt:lpstr>
      <vt:lpstr>Calendar.Years</vt:lpstr>
      <vt:lpstr>Discount.Rate</vt:lpstr>
      <vt:lpstr>Indexation.Average</vt:lpstr>
      <vt:lpstr>Indexation.Average.Override</vt:lpstr>
      <vt:lpstr>Indexation.Check</vt:lpstr>
      <vt:lpstr>Indexation.November</vt:lpstr>
      <vt:lpstr>Indexation.November.Actual</vt:lpstr>
      <vt:lpstr>Indexation.November.Actual.Override</vt:lpstr>
      <vt:lpstr>Indexation.November.Actual.YearOnYear</vt:lpstr>
      <vt:lpstr>Indexation.November.Override</vt:lpstr>
      <vt:lpstr>Inflation.Yearly.Average</vt:lpstr>
      <vt:lpstr>K.Waste</vt:lpstr>
      <vt:lpstr>K.Water</vt:lpstr>
      <vt:lpstr>Penalty.Rate.General</vt:lpstr>
      <vt:lpstr>Perc.Recovered.Waste</vt:lpstr>
      <vt:lpstr>Perc.Recovered.Water</vt:lpstr>
      <vt:lpstr>RPI!Print_Area</vt:lpstr>
      <vt:lpstr>'WRFIM - Waste'!Print_Area</vt:lpstr>
      <vt:lpstr>'WRFIM - Water'!Print_Area</vt:lpstr>
      <vt:lpstr>RCM.BlindYear.Adj.Waste</vt:lpstr>
      <vt:lpstr>RCM.BlindYear.Adj.Water</vt:lpstr>
      <vt:lpstr>RecRev.Waste</vt:lpstr>
      <vt:lpstr>RecRev.Water</vt:lpstr>
      <vt:lpstr>Threshold.Max</vt:lpstr>
      <vt:lpstr>Threshold.Min</vt:lpstr>
      <vt:lpstr>WRFIM.Waste</vt:lpstr>
      <vt:lpstr>WRFIM.Water</vt:lpstr>
    </vt:vector>
  </TitlesOfParts>
  <Company>PricewaterhouseCoopers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AWS User</cp:lastModifiedBy>
  <cp:revision/>
  <cp:lastPrinted>2019-06-07T10:56:49Z</cp:lastPrinted>
  <dcterms:created xsi:type="dcterms:W3CDTF">2015-02-03T17:19:53Z</dcterms:created>
  <dcterms:modified xsi:type="dcterms:W3CDTF">2019-06-11T10:46:00Z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0x010100E8259CEB6AF4904D959C69B0A08A8CCB</vt:lpwstr>
  </property>
  <property fmtid="{D5CDD505-2E9C-101B-9397-08002B2CF9AE}" pid="3" name="da4e9ae56afa494a84f353054bd212ec">
    <vt:lpwstr>OFFICIAL|c2540f30-f875-494b-a43f-ebfb5017a6ad</vt:lpwstr>
  </property>
  <property fmtid="{D5CDD505-2E9C-101B-9397-08002B2CF9AE}" pid="4" name="TaxCatchAll">
    <vt:lpwstr>151;#Risk and Reward|c78d1602-226e-4dfc-b981-a8a88923ba74;#21;#OFFICIAL|c2540f30-f875-494b-a43f-ebfb5017a6ad</vt:lpwstr>
  </property>
  <property fmtid="{D5CDD505-2E9C-101B-9397-08002B2CF9AE}" pid="5" name="Security Classification">
    <vt:lpwstr>21;#OFFICIAL|c2540f30-f875-494b-a43f-ebfb5017a6ad</vt:lpwstr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Meeting">
    <vt:lpwstr/>
  </property>
  <property fmtid="{D5CDD505-2E9C-101B-9397-08002B2CF9AE}" pid="10" name="Stakeholder 4">
    <vt:lpwstr/>
  </property>
  <property fmtid="{D5CDD505-2E9C-101B-9397-08002B2CF9AE}" pid="11" name="Project Code">
    <vt:lpwstr>151;#Risk and Reward|c78d1602-226e-4dfc-b981-a8a88923ba74</vt:lpwstr>
  </property>
  <property fmtid="{D5CDD505-2E9C-101B-9397-08002B2CF9AE}" pid="12" name="Stakeholder 3">
    <vt:lpwstr/>
  </property>
  <property fmtid="{D5CDD505-2E9C-101B-9397-08002B2CF9AE}" pid="13" name="Stakeholder 2">
    <vt:lpwstr/>
  </property>
  <property fmtid="{D5CDD505-2E9C-101B-9397-08002B2CF9AE}" pid="14" name="Stakeholder">
    <vt:lpwstr/>
  </property>
  <property fmtid="{D5CDD505-2E9C-101B-9397-08002B2CF9AE}" pid="15" name="SharedWithUsers">
    <vt:lpwstr>118;#Laura Masters</vt:lpwstr>
  </property>
  <property fmtid="{D5CDD505-2E9C-101B-9397-08002B2CF9AE}" pid="16" name="b128efbe498d4e38a73555a2e7be12ea">
    <vt:lpwstr/>
  </property>
  <property fmtid="{D5CDD505-2E9C-101B-9397-08002B2CF9AE}" pid="17" name="m279c8e365374608a4eb2bb657f838c2">
    <vt:lpwstr/>
  </property>
  <property fmtid="{D5CDD505-2E9C-101B-9397-08002B2CF9AE}" pid="18" name="j014a7bd3fd34d828fc493e84f684b49">
    <vt:lpwstr/>
  </property>
  <property fmtid="{D5CDD505-2E9C-101B-9397-08002B2CF9AE}" pid="19" name="b2faa34e97554b63aaaf45270201a270">
    <vt:lpwstr/>
  </property>
  <property fmtid="{D5CDD505-2E9C-101B-9397-08002B2CF9AE}" pid="20" name="b20f10deb29d4945907115b7b62c5b70">
    <vt:lpwstr/>
  </property>
  <property fmtid="{D5CDD505-2E9C-101B-9397-08002B2CF9AE}" pid="21" name="j7c77f2a1a924badb0d621542422dc19">
    <vt:lpwstr/>
  </property>
  <property fmtid="{D5CDD505-2E9C-101B-9397-08002B2CF9AE}" pid="22" name="oe9d4f963f4c420b8d2b35d038476850">
    <vt:lpwstr>Risk and Reward|c78d1602-226e-4dfc-b981-a8a88923ba74</vt:lpwstr>
  </property>
  <property fmtid="{D5CDD505-2E9C-101B-9397-08002B2CF9AE}" pid="23" name="a9250910d34f4f6d82af870f608babb6">
    <vt:lpwstr/>
  </property>
  <property fmtid="{D5CDD505-2E9C-101B-9397-08002B2CF9AE}" pid="24" name="f8aa492165544285b4c7fe9d1b6ad82c">
    <vt:lpwstr/>
  </property>
</Properties>
</file>