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6185" windowHeight="8280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45621" calcOnSave="0"/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P32" i="5" s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G84" i="5"/>
  <c r="G85" i="5" s="1"/>
  <c r="G87" i="5" s="1"/>
  <c r="G88" i="5" s="1"/>
  <c r="G94" i="5" s="1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N153" i="5" l="1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O167" i="5"/>
  <c r="O171" i="5" s="1"/>
  <c r="P167" i="5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M171" i="5"/>
  <c r="P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<sst xmlns="http://schemas.openxmlformats.org/spreadsheetml/2006/main" count="709" uniqueCount="375">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</sst>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3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890218\AppData\Local\Temp\notesF3B52A\PR09%20Legacy%20Blind%20Year%2020150619%20v3.0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tabSelected="1" zoomScale="70" zoomScaleNormal="70" workbookViewId="0">
      <pane xSplit="7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J134" sqref="J134"/>
    </sheetView>
  </sheetViews>
  <sheetFormatPr defaultColWidth="0" defaultRowHeight="12.75" zeroHeight="1"/>
  <cols>
    <col min="1" max="2" width="3.140625" style="49" customWidth="1"/>
    <col min="3" max="3" width="3.140625" style="194" customWidth="1"/>
    <col min="4" max="4" width="10" style="49" customWidth="1"/>
    <col min="5" max="5" width="114.5703125" style="74" customWidth="1"/>
    <col min="6" max="6" width="6" style="49" customWidth="1"/>
    <col min="7" max="7" width="10.140625" style="49" customWidth="1"/>
    <col min="8" max="8" width="12.140625" style="49" customWidth="1"/>
    <col min="9" max="16" width="14.5703125" style="49" customWidth="1"/>
    <col min="17" max="21" width="13.5703125" style="49" customWidth="1"/>
    <col min="22" max="22" width="10.5703125" style="50" customWidth="1"/>
    <col min="23" max="24" width="9.140625" style="31" customWidth="1"/>
    <col min="25" max="25" width="9.140625" style="31" hidden="1" customWidth="1"/>
    <col min="26" max="27" width="13.140625" style="31" hidden="1" customWidth="1"/>
    <col min="28" max="16384" width="9.140625" style="31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5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0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5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5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5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v>102.86569444902828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v>98.447216771155482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7.5068864991291999</v>
      </c>
      <c r="M26" s="37">
        <v>7.5068864991291999</v>
      </c>
      <c r="N26" s="37">
        <v>7.5068864991291999</v>
      </c>
      <c r="O26" s="37">
        <v>7.5068864991291999</v>
      </c>
      <c r="P26" s="37">
        <v>7.5068864991291999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10.8597838502555</v>
      </c>
      <c r="M27" s="37">
        <v>10.8597838502555</v>
      </c>
      <c r="N27" s="37">
        <v>10.8597838502555</v>
      </c>
      <c r="O27" s="37">
        <v>10.8597838502555</v>
      </c>
      <c r="P27" s="37">
        <v>10.8597838502555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5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102.86569444902828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98.447216771155482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5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5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5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341.75382487268098</v>
      </c>
      <c r="M40" s="37">
        <v>391.30991203013002</v>
      </c>
      <c r="N40" s="37">
        <v>335.62786400668898</v>
      </c>
      <c r="O40" s="37">
        <v>298.29741950711099</v>
      </c>
      <c r="P40" s="37">
        <v>289.44516467190999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437.52331760992797</v>
      </c>
      <c r="M41" s="37">
        <v>558.83287963175997</v>
      </c>
      <c r="N41" s="37">
        <v>494.54716205404497</v>
      </c>
      <c r="O41" s="37">
        <v>508.11447096185799</v>
      </c>
      <c r="P41" s="37">
        <v>502.67562566400602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349.41975636847269</v>
      </c>
      <c r="M46" s="37">
        <v>399.16979540059464</v>
      </c>
      <c r="N46" s="37">
        <v>343.06132873140791</v>
      </c>
      <c r="O46" s="37">
        <v>305.4754039725504</v>
      </c>
      <c r="P46" s="37">
        <v>296.53225937895087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436.61484532449958</v>
      </c>
      <c r="M47" s="37">
        <v>557.22118259870433</v>
      </c>
      <c r="N47" s="37">
        <v>493.20517093443505</v>
      </c>
      <c r="O47" s="37">
        <v>506.73833108470552</v>
      </c>
      <c r="P47" s="37">
        <v>501.3378185544347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5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v>316.610208948067</v>
      </c>
      <c r="M52" s="37">
        <v>366.02057071270201</v>
      </c>
      <c r="N52" s="37">
        <v>387.73500000000001</v>
      </c>
      <c r="O52" s="37">
        <v>413.048</v>
      </c>
      <c r="P52" s="37">
        <v>427.76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408.326284122586</v>
      </c>
      <c r="M53" s="37">
        <v>464.71712125504598</v>
      </c>
      <c r="N53" s="37">
        <v>540.64643572057696</v>
      </c>
      <c r="O53" s="37">
        <v>514.74400000000003</v>
      </c>
      <c r="P53" s="37">
        <v>591.89200000000005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5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5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5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v>6.2029999999999896</v>
      </c>
      <c r="M60" s="37">
        <v>5.9550000000000001</v>
      </c>
      <c r="N60" s="37">
        <v>8.3659999999999997</v>
      </c>
      <c r="O60" s="37">
        <v>10.904</v>
      </c>
      <c r="P60" s="37">
        <v>9.32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v>0.70299999999999996</v>
      </c>
      <c r="M61" s="37">
        <v>0.53400000000000003</v>
      </c>
      <c r="N61" s="37">
        <v>1.0149815599791401</v>
      </c>
      <c r="O61" s="37">
        <v>3.3140000000000001</v>
      </c>
      <c r="P61" s="37">
        <v>2.3290000000000002</v>
      </c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v>3.6920000000000002</v>
      </c>
      <c r="M62" s="37">
        <v>3.7320000000000002</v>
      </c>
      <c r="N62" s="37">
        <v>3.8</v>
      </c>
      <c r="O62" s="37">
        <v>4.3979999999999997</v>
      </c>
      <c r="P62" s="37">
        <v>4.532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</v>
      </c>
      <c r="M64" s="37">
        <v>0</v>
      </c>
      <c r="N64" s="37">
        <v>0</v>
      </c>
      <c r="O64" s="37">
        <v>0.20100000000000001</v>
      </c>
      <c r="P64" s="37">
        <v>0</v>
      </c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0.78300000000000003</v>
      </c>
      <c r="M66" s="37">
        <v>0.93100000000000005</v>
      </c>
      <c r="N66" s="37">
        <v>1.036</v>
      </c>
      <c r="O66" s="37">
        <v>1.141</v>
      </c>
      <c r="P66" s="37">
        <v>1.4390000000000001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0.48599999999999999</v>
      </c>
      <c r="M67" s="37">
        <v>3.1869999999999998</v>
      </c>
      <c r="N67" s="37">
        <v>7.143283931</v>
      </c>
      <c r="O67" s="37">
        <v>4.492</v>
      </c>
      <c r="P67" s="37">
        <v>0</v>
      </c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5.3579999999999997</v>
      </c>
      <c r="M68" s="37">
        <v>5.4180000000000001</v>
      </c>
      <c r="N68" s="37">
        <v>5.9</v>
      </c>
      <c r="O68" s="37">
        <v>6.83</v>
      </c>
      <c r="P68" s="37">
        <v>7.0330000000000004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0.442</v>
      </c>
      <c r="M70" s="37">
        <v>0</v>
      </c>
      <c r="N70" s="37">
        <v>0</v>
      </c>
      <c r="O70" s="37">
        <v>0.48899999999999999</v>
      </c>
      <c r="P70" s="37">
        <v>0</v>
      </c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>
        <v>25.310480320541199</v>
      </c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26.964197955770899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5"/>
    <row r="81" spans="1:24" s="23" customFormat="1" ht="15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5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5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5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>
      <c r="D125" s="49" t="s">
        <v>72</v>
      </c>
      <c r="E125" s="74" t="s">
        <v>73</v>
      </c>
      <c r="F125" s="35"/>
      <c r="L125" s="37">
        <v>0.57548999999999995</v>
      </c>
      <c r="M125" s="37">
        <v>0.50838000000000005</v>
      </c>
      <c r="N125" s="37">
        <v>0.5857</v>
      </c>
      <c r="O125" s="37">
        <v>0.65902000000000005</v>
      </c>
      <c r="P125" s="37">
        <v>0.68181000000000003</v>
      </c>
      <c r="Q125" s="75" t="s">
        <v>74</v>
      </c>
    </row>
    <row r="126" spans="1:27">
      <c r="D126" s="49" t="s">
        <v>72</v>
      </c>
      <c r="E126" s="74" t="s">
        <v>75</v>
      </c>
      <c r="F126" s="35"/>
      <c r="L126" s="37">
        <v>0.63917000000000002</v>
      </c>
      <c r="M126" s="37">
        <v>0.50465000000000004</v>
      </c>
      <c r="N126" s="37">
        <v>0.56679999999999997</v>
      </c>
      <c r="O126" s="37">
        <v>0.54888999999999999</v>
      </c>
      <c r="P126" s="37">
        <v>0.55271000000000003</v>
      </c>
      <c r="Q126" s="75" t="s">
        <v>76</v>
      </c>
    </row>
    <row r="127" spans="1:27"/>
    <row r="128" spans="1:27" s="23" customFormat="1" ht="15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/>
    </row>
    <row r="131" spans="1:24">
      <c r="D131" s="3" t="s">
        <v>58</v>
      </c>
      <c r="E131" s="74" t="s">
        <v>231</v>
      </c>
      <c r="F131" s="31"/>
      <c r="H131" s="69">
        <f>EffInc.Coeff.Water</f>
        <v>0.49426861110194342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1.0071642361225708</v>
      </c>
    </row>
    <row r="133" spans="1:24" ht="15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/>
      <c r="O134" s="227"/>
      <c r="P134" s="227"/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5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/>
      <c r="O137" s="227"/>
      <c r="P137" s="227"/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5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/>
      <c r="M146" s="45"/>
      <c r="N146" s="45"/>
      <c r="O146" s="45"/>
      <c r="P146" s="45"/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5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/>
      <c r="M151" s="45"/>
      <c r="N151" s="45"/>
      <c r="O151" s="45"/>
      <c r="P151" s="45"/>
      <c r="Q151" s="75"/>
      <c r="R151" s="31"/>
      <c r="S151" s="31"/>
      <c r="T151" s="31"/>
      <c r="U151" s="31"/>
      <c r="V151" s="31"/>
    </row>
    <row r="152" spans="1:27" ht="13.5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5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70" zoomScaleNormal="70" workbookViewId="0">
      <pane xSplit="6" ySplit="7" topLeftCell="G8" activePane="bottomRight" state="frozen"/>
      <selection activeCell="K53" sqref="K53"/>
      <selection pane="topRight" activeCell="K53" sqref="K53"/>
      <selection pane="bottomLeft" activeCell="K53" sqref="K53"/>
      <selection pane="bottomRight" activeCell="L192" sqref="L192"/>
    </sheetView>
  </sheetViews>
  <sheetFormatPr defaultColWidth="0" defaultRowHeight="12.75" zeroHeight="1"/>
  <cols>
    <col min="1" max="3" width="2.5703125" style="3" customWidth="1"/>
    <col min="4" max="4" width="9.42578125" style="246" bestFit="1" customWidth="1"/>
    <col min="5" max="5" width="75.140625" style="129" customWidth="1"/>
    <col min="6" max="6" width="20.42578125" style="129" customWidth="1"/>
    <col min="7" max="7" width="14.5703125" style="129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119" customWidth="1"/>
    <col min="23" max="23" width="106.140625" style="118" bestFit="1" customWidth="1"/>
    <col min="24" max="24" width="3.5703125" style="130" customWidth="1"/>
    <col min="25" max="25" width="13.5703125" style="118" hidden="1" customWidth="1"/>
    <col min="26" max="38" width="9.140625" style="118" hidden="1" customWidth="1"/>
    <col min="39" max="39" width="10.140625" style="118" hidden="1" customWidth="1"/>
    <col min="40" max="16384" width="9.140625" style="118" hidden="1"/>
  </cols>
  <sheetData>
    <row r="1" spans="1:29" s="2" customFormat="1" ht="33.75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5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5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298.59926586548227</v>
      </c>
      <c r="M14" s="56">
        <f>Actual.Totex.Water/Indexation.Average</f>
        <v>337.95811115744647</v>
      </c>
      <c r="N14" s="56">
        <f>Actual.Totex.Water/Indexation.Average</f>
        <v>345.09343523598773</v>
      </c>
      <c r="O14" s="56">
        <f>Actual.Totex.Water/Indexation.Average</f>
        <v>355.53444044093465</v>
      </c>
      <c r="P14" s="56">
        <f>Actual.Totex.Water/Indexation.Average</f>
        <v>357.1269783047839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385.09790659524748</v>
      </c>
      <c r="M15" s="56">
        <f>Actual.Totex.Sewerage/Indexation.Average</f>
        <v>429.08768820306932</v>
      </c>
      <c r="N15" s="56">
        <f>Actual.Totex.Sewerage/Indexation.Average</f>
        <v>481.18827485500793</v>
      </c>
      <c r="O15" s="56">
        <f>Actual.Totex.Sewerage/Indexation.Average</f>
        <v>443.07010325755954</v>
      </c>
      <c r="P15" s="56">
        <f>Actual.Totex.Sewerage/Indexation.Average</f>
        <v>494.15700730029727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9.9951136451239773</v>
      </c>
      <c r="M18" s="56">
        <f>SUM(INDEX(Actual.Exclusions.Water,,M6))/Indexation.Average</f>
        <v>9.4373653574011733</v>
      </c>
      <c r="N18" s="56">
        <f>SUM(INDEX(Actual.Exclusions.Water,,N6))/Indexation.Average</f>
        <v>11.731389238308148</v>
      </c>
      <c r="O18" s="56">
        <f>SUM(INDEX(Actual.Exclusions.Water,,O6))/Indexation.Average</f>
        <v>16.196886477545146</v>
      </c>
      <c r="P18" s="56">
        <f>SUM(INDEX(Actual.Exclusions.Water,,P6))/Indexation.Average</f>
        <v>13.509144464067955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6.6668671784658855</v>
      </c>
      <c r="M19" s="298">
        <f>SUM(Inputs!M66:M72)/Indexation.Average</f>
        <v>8.8048836755872806</v>
      </c>
      <c r="N19" s="298">
        <f>SUM(Inputs!N66:N72)/Indexation.Average</f>
        <v>12.530899860501712</v>
      </c>
      <c r="O19" s="298">
        <f>SUM(Inputs!O66:O72)/Indexation.Average</f>
        <v>11.148539812784437</v>
      </c>
      <c r="P19" s="298">
        <f>SUM(Inputs!P66:P72)/Indexation.Average</f>
        <v>7.0730778010990498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25.310480320541199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26.964197955770899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313.9146325408995</v>
      </c>
      <c r="M30" s="298">
        <f t="shared" ref="M30:P30" si="2">M14-M18+M22</f>
        <v>328.52074580004529</v>
      </c>
      <c r="N30" s="298">
        <f t="shared" si="2"/>
        <v>333.36204599767956</v>
      </c>
      <c r="O30" s="298">
        <f t="shared" si="2"/>
        <v>339.3375539633895</v>
      </c>
      <c r="P30" s="298">
        <f t="shared" si="2"/>
        <v>343.61783384071595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405.39523737255246</v>
      </c>
      <c r="M31" s="298">
        <f t="shared" ref="M31:P31" si="3">M15-M19+M23</f>
        <v>420.28280452748203</v>
      </c>
      <c r="N31" s="298">
        <f t="shared" si="3"/>
        <v>468.6573749945062</v>
      </c>
      <c r="O31" s="298">
        <f t="shared" si="3"/>
        <v>431.92156344477507</v>
      </c>
      <c r="P31" s="298">
        <f t="shared" si="3"/>
        <v>487.08392949919823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719.30986991345196</v>
      </c>
      <c r="M32" s="114">
        <f>SUM(M30:M31)</f>
        <v>748.80355032752732</v>
      </c>
      <c r="N32" s="114">
        <f t="shared" ref="N32:P32" si="4">SUM(N30:N31)</f>
        <v>802.01942099218581</v>
      </c>
      <c r="O32" s="114">
        <f t="shared" si="4"/>
        <v>771.25911740816457</v>
      </c>
      <c r="P32" s="114">
        <f t="shared" si="4"/>
        <v>830.70176333991412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5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5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5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0.49426861110194342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100.71642361225707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-0.36231790846612988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0.503105566457689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99.611804192788867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0.1928923357276755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5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0.49426861110194342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100.71642361225707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-0.36231790846612988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0.503105566457689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99.611804192788867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0.1928923357276755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5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5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1.0013997701056168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100.13997701056168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-7.7398447271711968E-2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-7.739844727171197E-4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0.88473705865099417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88.473705865099419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5.7965316041413137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5.796531604141314E-2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5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-1.282054339336351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145.01145181123042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-1.2382353103816981</v>
      </c>
      <c r="M97" s="211">
        <f>FD.AddInc.Coeff.Water/100*Baseline.Totex.Water</f>
        <v>-1.4177858888882198</v>
      </c>
      <c r="N97" s="211">
        <f>FD.AddInc.Coeff.Water/100*Baseline.Totex.Water</f>
        <v>-1.2160398570985822</v>
      </c>
      <c r="O97" s="211">
        <f>FD.AddInc.Coeff.Water/100*Baseline.Totex.Water</f>
        <v>-1.0807849713666018</v>
      </c>
      <c r="P97" s="211">
        <f>FD.AddInc.Coeff.Water/100*Baseline.Totex.Water</f>
        <v>-1.0487116667956098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0.84394894669100629</v>
      </c>
      <c r="M98" s="211">
        <f>FD.AddInc.Coeff.Sewerage/100*Baseline.Totex.Sewerage</f>
        <v>1.0779457943359312</v>
      </c>
      <c r="N98" s="211">
        <f>FD.AddInc.Coeff.Sewerage/100*Baseline.Totex.Sewerage</f>
        <v>0.9539435721609798</v>
      </c>
      <c r="O98" s="211">
        <f>FD.AddInc.Coeff.Sewerage/100*Baseline.Totex.Sewerage</f>
        <v>0.98011387120864935</v>
      </c>
      <c r="P98" s="211">
        <f>FD.AddInc.Coeff.Sewerage/100*Baseline.Totex.Sewerage</f>
        <v>0.96962275547700782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4.7195033551943606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140.18587687135684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0.973723156438557</v>
      </c>
      <c r="M105" s="211">
        <f>IF(SUM(Baseline.Totex.Water)=0,0,$G101*(Baseline.Totex.Water/SUM(Baseline.Totex.Water)))</f>
        <v>1.1149180929565969</v>
      </c>
      <c r="N105" s="211">
        <f>IF(SUM(Baseline.Totex.Water)=0,0,$G101*(Baseline.Totex.Water/SUM(Baseline.Totex.Water)))</f>
        <v>0.95626910174619173</v>
      </c>
      <c r="O105" s="211">
        <f>IF(SUM(Baseline.Totex.Water)=0,0,$G101*(Baseline.Totex.Water/SUM(Baseline.Totex.Water)))</f>
        <v>0.84990740041651291</v>
      </c>
      <c r="P105" s="211">
        <f>IF(SUM(Baseline.Totex.Water)=0,0,$G101*(Baseline.Totex.Water/SUM(Baseline.Totex.Water)))</f>
        <v>0.82468560363650145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24.517228434056044</v>
      </c>
      <c r="M106" s="211">
        <f>IF(SUM(Baseline.Totex.Sewerage)=0,0,$G102*(Baseline.Totex.Sewerage/SUM(Baseline.Totex.Sewerage)))</f>
        <v>31.314978687852019</v>
      </c>
      <c r="N106" s="211">
        <f>IF(SUM(Baseline.Totex.Sewerage)=0,0,$G102*(Baseline.Totex.Sewerage/SUM(Baseline.Totex.Sewerage)))</f>
        <v>27.712638973685692</v>
      </c>
      <c r="O106" s="211">
        <f>IF(SUM(Baseline.Totex.Sewerage)=0,0,$G102*(Baseline.Totex.Sewerage/SUM(Baseline.Totex.Sewerage)))</f>
        <v>28.472902023310887</v>
      </c>
      <c r="P106" s="211">
        <f>IF(SUM(Baseline.Totex.Sewerage)=0,0,$G102*(Baseline.Totex.Sewerage/SUM(Baseline.Totex.Sewerage)))</f>
        <v>28.168128752452187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1.1216943178215157</v>
      </c>
      <c r="M109" s="211">
        <f>M105*(1+WACC)^Calcs!M7</f>
        <v>1.2397160661598696</v>
      </c>
      <c r="N109" s="211">
        <f>N105*(1+WACC)^Calcs!N7</f>
        <v>1.0263598018277806</v>
      </c>
      <c r="O109" s="211">
        <f>O105*(1+WACC)^Calcs!O7</f>
        <v>0.88050406683150739</v>
      </c>
      <c r="P109" s="211">
        <f>P105*(1+WACC)^Calcs!P7</f>
        <v>0.82468560363650145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28.242971979631768</v>
      </c>
      <c r="M110" s="211">
        <f>M106*(1+WACC)^Calcs!M7</f>
        <v>34.820210054924068</v>
      </c>
      <c r="N110" s="211">
        <f>N106*(1+WACC)^Calcs!N7</f>
        <v>29.74386455990096</v>
      </c>
      <c r="O110" s="211">
        <f>O106*(1+WACC)^Calcs!O7</f>
        <v>29.497926496150079</v>
      </c>
      <c r="P110" s="211">
        <f>P106*(1+WACC)^Calcs!P7</f>
        <v>28.168128752452187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5.092959856277175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150.47310184305906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5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5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344.20222996986058</v>
      </c>
      <c r="M136" s="211">
        <f>Baseline.Totex.Water*(FD.AllExp.Coeff.Water/100)</f>
        <v>394.11334863701626</v>
      </c>
      <c r="N136" s="211">
        <f>Baseline.Totex.Water*(FD.AllExp.Coeff.Water/100)</f>
        <v>338.03238127374698</v>
      </c>
      <c r="O136" s="211">
        <f>Baseline.Totex.Water*(FD.AllExp.Coeff.Water/100)</f>
        <v>300.43449265521349</v>
      </c>
      <c r="P136" s="211">
        <f>Baseline.Totex.Water*(FD.AllExp.Coeff.Water/100)</f>
        <v>291.51881817615595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435.82487043539516</v>
      </c>
      <c r="M137" s="211">
        <f>Baseline.Totex.Sewerage*(FD.AllExp.Coeff.Sewerage/100)</f>
        <v>556.66351382371226</v>
      </c>
      <c r="N137" s="211">
        <f>Baseline.Totex.Sewerage*(FD.AllExp.Coeff.Sewerage/100)</f>
        <v>492.62735070626951</v>
      </c>
      <c r="O137" s="211">
        <f>Baseline.Totex.Sewerage*(FD.AllExp.Coeff.Sewerage/100)</f>
        <v>506.14199188975101</v>
      </c>
      <c r="P137" s="211">
        <f>Baseline.Totex.Sewerage*(FD.AllExp.Coeff.Sewerage/100)</f>
        <v>500.72425996130602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349.41975636847269</v>
      </c>
      <c r="M140" s="211">
        <f>Inputs!M46</f>
        <v>399.16979540059464</v>
      </c>
      <c r="N140" s="211">
        <f>Inputs!N46</f>
        <v>343.06132873140791</v>
      </c>
      <c r="O140" s="211">
        <f>Inputs!O46</f>
        <v>305.4754039725504</v>
      </c>
      <c r="P140" s="211">
        <f>Inputs!P46</f>
        <v>296.53225937895087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436.61484532449958</v>
      </c>
      <c r="M141" s="211">
        <f>Inputs!M47</f>
        <v>557.22118259870433</v>
      </c>
      <c r="N141" s="211">
        <f>Inputs!N47</f>
        <v>493.20517093443505</v>
      </c>
      <c r="O141" s="211">
        <f>Inputs!O47</f>
        <v>506.73833108470552</v>
      </c>
      <c r="P141" s="211">
        <f>Inputs!P47</f>
        <v>501.3378185544347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5.2175263986121081</v>
      </c>
      <c r="M144" s="211">
        <f t="shared" ref="M144:P144" si="5">M140-M136</f>
        <v>5.0564467635783785</v>
      </c>
      <c r="N144" s="211">
        <f t="shared" si="5"/>
        <v>5.0289474576609337</v>
      </c>
      <c r="O144" s="211">
        <f t="shared" si="5"/>
        <v>5.0409113173369064</v>
      </c>
      <c r="P144" s="211">
        <f t="shared" si="5"/>
        <v>5.0134412027949224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0.78997488910442826</v>
      </c>
      <c r="M145" s="211">
        <f t="shared" ref="M145:P145" si="6">M141-M137</f>
        <v>0.55766877499206657</v>
      </c>
      <c r="N145" s="211">
        <f t="shared" si="6"/>
        <v>0.57782022816553535</v>
      </c>
      <c r="O145" s="211">
        <f t="shared" si="6"/>
        <v>0.59633919495450982</v>
      </c>
      <c r="P145" s="211">
        <f t="shared" si="6"/>
        <v>0.61355859312868688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344.20222996986058</v>
      </c>
      <c r="M148" s="211">
        <f>Baseline.Totex.Water*(AllExp.Coeff.Water/100)</f>
        <v>394.11334863701626</v>
      </c>
      <c r="N148" s="211">
        <f>Baseline.Totex.Water*(AllExp.Coeff.Water/100)</f>
        <v>338.03238127374698</v>
      </c>
      <c r="O148" s="211">
        <f>Baseline.Totex.Water*(AllExp.Coeff.Water/100)</f>
        <v>300.43449265521349</v>
      </c>
      <c r="P148" s="211">
        <f>Baseline.Totex.Water*(AllExp.Coeff.Water/100)</f>
        <v>291.51881817615595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435.82487043539516</v>
      </c>
      <c r="M149" s="211">
        <f>Baseline.Totex.Sewerage*(AllExp.Coeff.Sewerage/100)</f>
        <v>556.66351382371226</v>
      </c>
      <c r="N149" s="211">
        <f>Baseline.Totex.Sewerage*(AllExp.Coeff.Sewerage/100)</f>
        <v>492.62735070626951</v>
      </c>
      <c r="O149" s="211">
        <f>Baseline.Totex.Sewerage*(AllExp.Coeff.Sewerage/100)</f>
        <v>506.14199188975101</v>
      </c>
      <c r="P149" s="211">
        <f>Baseline.Totex.Sewerage*(AllExp.Coeff.Sewerage/100)</f>
        <v>500.72425996130602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349.41975636847269</v>
      </c>
      <c r="M152" s="211">
        <f t="shared" ref="M152:P152" si="7">M148+M144</f>
        <v>399.16979540059464</v>
      </c>
      <c r="N152" s="211">
        <f t="shared" si="7"/>
        <v>343.06132873140791</v>
      </c>
      <c r="O152" s="211">
        <f t="shared" si="7"/>
        <v>305.4754039725504</v>
      </c>
      <c r="P152" s="211">
        <f t="shared" si="7"/>
        <v>296.53225937895087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436.61484532449958</v>
      </c>
      <c r="M153" s="211">
        <f t="shared" ref="M153:P153" si="8">M149+M145</f>
        <v>557.22118259870433</v>
      </c>
      <c r="N153" s="211">
        <f t="shared" si="8"/>
        <v>493.20517093443505</v>
      </c>
      <c r="O153" s="211">
        <f t="shared" si="8"/>
        <v>506.73833108470552</v>
      </c>
      <c r="P153" s="211">
        <f t="shared" si="8"/>
        <v>501.3378185544347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0</v>
      </c>
      <c r="M156" s="211">
        <f t="shared" si="9"/>
        <v>0</v>
      </c>
      <c r="N156" s="211">
        <f t="shared" si="9"/>
        <v>0</v>
      </c>
      <c r="O156" s="211">
        <f t="shared" si="9"/>
        <v>0</v>
      </c>
      <c r="P156" s="211">
        <f t="shared" si="9"/>
        <v>0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0</v>
      </c>
      <c r="M157" s="211">
        <f t="shared" si="9"/>
        <v>0</v>
      </c>
      <c r="N157" s="211">
        <f t="shared" si="9"/>
        <v>0</v>
      </c>
      <c r="O157" s="211">
        <f t="shared" si="9"/>
        <v>0</v>
      </c>
      <c r="P157" s="211">
        <f t="shared" si="9"/>
        <v>0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5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-30.287597428961135</v>
      </c>
      <c r="M162" s="295">
        <f>(Actual.Totex.Water-SUM(Inputs!M60:M64))/Indexation.Average-M148</f>
        <v>-65.592602836970968</v>
      </c>
      <c r="N162" s="295">
        <f>(Actual.Totex.Water-SUM(Inputs!N60:N64))/Indexation.Average-N148</f>
        <v>-4.6703352760674193</v>
      </c>
      <c r="O162" s="295">
        <f>(Actual.Totex.Water-SUM(Inputs!O60:O64))/Indexation.Average-O148</f>
        <v>38.903061308176007</v>
      </c>
      <c r="P162" s="295">
        <f>(Actual.Totex.Water-SUM(Inputs!P60:P64))/Indexation.Average-P148</f>
        <v>52.09901566456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-30.42963306284264</v>
      </c>
      <c r="M163" s="295">
        <f>(Actual.Totex.Sewerage-SUM(Inputs!M66:M72))/Indexation.Average-M149</f>
        <v>-136.38070929623024</v>
      </c>
      <c r="N163" s="295">
        <f>(Actual.Totex.Sewerage-SUM(Inputs!N66:N72))/Indexation.Average-N149</f>
        <v>-23.969975711763254</v>
      </c>
      <c r="O163" s="295">
        <f>(Actual.Totex.Sewerage-SUM(Inputs!O66:O72))/Indexation.Average-O149</f>
        <v>-74.22042844497588</v>
      </c>
      <c r="P163" s="295">
        <f>(Actual.Totex.Sewerage-SUM(Inputs!P66:P72))/Indexation.Average-P149</f>
        <v>-13.640330462107784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-30.287597428961135</v>
      </c>
      <c r="M166" s="211">
        <f t="shared" ref="L166:P167" si="10">M162+M156</f>
        <v>-65.592602836970968</v>
      </c>
      <c r="N166" s="211">
        <f t="shared" si="10"/>
        <v>-4.6703352760674193</v>
      </c>
      <c r="O166" s="211">
        <f t="shared" si="10"/>
        <v>38.903061308176007</v>
      </c>
      <c r="P166" s="211">
        <f t="shared" si="10"/>
        <v>52.09901566456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-30.42963306284264</v>
      </c>
      <c r="M167" s="211">
        <f t="shared" si="10"/>
        <v>-136.38070929623024</v>
      </c>
      <c r="N167" s="211">
        <f t="shared" si="10"/>
        <v>-23.969975711763254</v>
      </c>
      <c r="O167" s="211">
        <f t="shared" si="10"/>
        <v>-74.22042844497588</v>
      </c>
      <c r="P167" s="211">
        <f t="shared" si="10"/>
        <v>-13.640330462107784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-34.890231080454967</v>
      </c>
      <c r="M170" s="211">
        <f>M166*(1+WACC)^Calcs!M7</f>
        <v>-72.934688271671945</v>
      </c>
      <c r="N170" s="211">
        <f>N166*(1+WACC)^Calcs!N7</f>
        <v>-5.012652170462057</v>
      </c>
      <c r="O170" s="211">
        <f>O166*(1+WACC)^Calcs!O7</f>
        <v>40.303571515270342</v>
      </c>
      <c r="P170" s="211">
        <f>P166*(1+WACC)^Calcs!P7</f>
        <v>52.09901566456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-35.053851060527933</v>
      </c>
      <c r="M171" s="211">
        <f>M167*(1+WACC)^Calcs!M7</f>
        <v>-151.64643707633979</v>
      </c>
      <c r="N171" s="211">
        <f>N167*(1+WACC)^Calcs!N7</f>
        <v>-25.726879051532656</v>
      </c>
      <c r="O171" s="211">
        <f>O167*(1+WACC)^Calcs!O7</f>
        <v>-76.89236386899502</v>
      </c>
      <c r="P171" s="211">
        <f>P167*(1+WACC)^Calcs!P7</f>
        <v>-13.640330462107784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-20.434984342758639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-302.95986151950319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5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5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5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0.59532570850583277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0.55910484027983187</v>
      </c>
      <c r="H193" s="126" t="s">
        <v>126</v>
      </c>
    </row>
    <row r="194" spans="1:24"/>
    <row r="195" spans="1:24" s="23" customFormat="1" ht="15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-7.0725116758812119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-18.913223143002767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5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-8.2695128106002525</v>
      </c>
      <c r="R202" s="118"/>
      <c r="S202" s="118"/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-133.57353653344137</v>
      </c>
      <c r="R203" s="118"/>
      <c r="S203" s="118"/>
    </row>
    <row r="204" spans="1:24"/>
    <row r="205" spans="1:24" ht="13.5" thickBot="1"/>
    <row r="206" spans="1:24" s="3" customFormat="1" ht="13.5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K13" sqref="K13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2.75">
      <c r="V4" s="135"/>
    </row>
    <row r="5" spans="1:24" ht="12.75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2.75"/>
    <row r="8" spans="1:24" ht="12.75"/>
    <row r="9" spans="1:24" s="23" customFormat="1" ht="15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2.75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2.75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-7.0725116758812119</v>
      </c>
      <c r="Q11" s="3"/>
      <c r="R11" s="3"/>
      <c r="S11" s="3"/>
      <c r="T11" s="3"/>
      <c r="U11" s="3"/>
      <c r="V11" s="119"/>
      <c r="X11" s="130"/>
    </row>
    <row r="12" spans="1:24" s="118" customFormat="1" ht="12.75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-18.913223143002767</v>
      </c>
      <c r="Q12" s="3"/>
      <c r="R12" s="3"/>
      <c r="S12" s="3"/>
      <c r="T12" s="3"/>
      <c r="U12" s="3"/>
      <c r="V12" s="119"/>
      <c r="X12" s="130"/>
    </row>
    <row r="13" spans="1:24" s="118" customFormat="1" ht="12.75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2.75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-25.98573481888398</v>
      </c>
      <c r="Q14" s="3"/>
      <c r="R14" s="3"/>
      <c r="S14" s="3"/>
      <c r="T14" s="3"/>
      <c r="U14" s="3"/>
      <c r="V14" s="119"/>
      <c r="X14" s="130"/>
    </row>
    <row r="15" spans="1:24" s="118" customFormat="1" ht="12.75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5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2.75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2.75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-8.2695128106002525</v>
      </c>
      <c r="Q18" s="3"/>
      <c r="R18" s="3"/>
      <c r="S18" s="3"/>
      <c r="T18" s="3"/>
      <c r="U18" s="3"/>
      <c r="V18" s="119"/>
      <c r="X18" s="130"/>
    </row>
    <row r="19" spans="1:24" s="118" customFormat="1" ht="12.75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-133.57353653344137</v>
      </c>
      <c r="Q19" s="3"/>
      <c r="R19" s="3"/>
      <c r="S19" s="3"/>
      <c r="T19" s="3"/>
      <c r="U19" s="3"/>
      <c r="V19" s="119"/>
      <c r="X19" s="130"/>
    </row>
    <row r="20" spans="1:24" customFormat="1" ht="15">
      <c r="G20" s="7"/>
    </row>
    <row r="21" spans="1:24" s="118" customFormat="1" ht="12.75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-141.84304934404162</v>
      </c>
      <c r="Q21" s="3"/>
      <c r="R21" s="3"/>
      <c r="S21" s="3"/>
      <c r="T21" s="3"/>
      <c r="U21" s="3"/>
      <c r="V21" s="119"/>
      <c r="X21" s="130"/>
    </row>
    <row r="22" spans="1:24" ht="13.5" thickBot="1"/>
    <row r="23" spans="1:24" ht="13.5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-141.84304934404162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H26" sqref="H26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80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100" customFormat="1" ht="33.75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2.75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5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2.75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2.75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2.75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171">
        <v>255.7</v>
      </c>
      <c r="L11" s="171">
        <v>258</v>
      </c>
      <c r="M11" s="171">
        <v>261.39999999999998</v>
      </c>
      <c r="N11" s="171">
        <v>270.60000000000002</v>
      </c>
      <c r="O11" s="171">
        <v>279.80040000000002</v>
      </c>
      <c r="P11" s="171">
        <v>288.4742124</v>
      </c>
      <c r="Q11" s="171">
        <v>297.12843877199998</v>
      </c>
      <c r="R11" s="171">
        <v>306.04229193515999</v>
      </c>
      <c r="S11" s="171">
        <v>315.22356069321478</v>
      </c>
      <c r="T11" s="171">
        <v>324.68026751401123</v>
      </c>
      <c r="U11" s="171">
        <v>334.42067553943156</v>
      </c>
      <c r="V11" s="167"/>
    </row>
    <row r="12" spans="1:24" s="153" customFormat="1" ht="12.75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171">
        <v>255.9</v>
      </c>
      <c r="L12" s="171">
        <v>258.5</v>
      </c>
      <c r="M12" s="171">
        <v>262.10000000000002</v>
      </c>
      <c r="N12" s="171">
        <v>271.7</v>
      </c>
      <c r="O12" s="171">
        <v>280.93779999999998</v>
      </c>
      <c r="P12" s="171">
        <v>289.64687179999999</v>
      </c>
      <c r="Q12" s="171">
        <v>298.33627795399997</v>
      </c>
      <c r="R12" s="171">
        <v>307.28636629261996</v>
      </c>
      <c r="S12" s="171">
        <v>316.50495728139856</v>
      </c>
      <c r="T12" s="171">
        <v>326.00010599984051</v>
      </c>
      <c r="U12" s="171">
        <v>335.78010917983573</v>
      </c>
      <c r="V12" s="167"/>
    </row>
    <row r="13" spans="1:24" s="153" customFormat="1" ht="12.75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171">
        <v>256.3</v>
      </c>
      <c r="L13" s="171">
        <v>258.89999999999998</v>
      </c>
      <c r="M13" s="171">
        <v>263.10000000000002</v>
      </c>
      <c r="N13" s="171">
        <v>272.3</v>
      </c>
      <c r="O13" s="171">
        <v>281.5582</v>
      </c>
      <c r="P13" s="171">
        <v>290.28650419999997</v>
      </c>
      <c r="Q13" s="171">
        <v>298.995099326</v>
      </c>
      <c r="R13" s="171">
        <v>307.96495230578</v>
      </c>
      <c r="S13" s="171">
        <v>317.20390087495343</v>
      </c>
      <c r="T13" s="171">
        <v>326.72001790120203</v>
      </c>
      <c r="U13" s="171">
        <v>336.52161843823808</v>
      </c>
      <c r="V13" s="167"/>
    </row>
    <row r="14" spans="1:24" s="153" customFormat="1" ht="12.75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171">
        <v>256</v>
      </c>
      <c r="L14" s="171">
        <v>258.60000000000002</v>
      </c>
      <c r="M14" s="171">
        <v>263.39999999999998</v>
      </c>
      <c r="N14" s="171">
        <v>272.89999999999998</v>
      </c>
      <c r="O14" s="171">
        <v>282.17859999999996</v>
      </c>
      <c r="P14" s="171">
        <v>290.92613659999995</v>
      </c>
      <c r="Q14" s="171">
        <v>299.65392069799998</v>
      </c>
      <c r="R14" s="171">
        <v>308.64353831893999</v>
      </c>
      <c r="S14" s="171">
        <v>317.90284446850819</v>
      </c>
      <c r="T14" s="171">
        <v>327.43992980256343</v>
      </c>
      <c r="U14" s="171">
        <v>337.26312769664031</v>
      </c>
      <c r="V14" s="167"/>
    </row>
    <row r="15" spans="1:24" s="153" customFormat="1" ht="12.75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171">
        <v>257</v>
      </c>
      <c r="L15" s="171">
        <v>259.8</v>
      </c>
      <c r="M15" s="171">
        <v>264.39999999999998</v>
      </c>
      <c r="N15" s="171">
        <v>274.7</v>
      </c>
      <c r="O15" s="171">
        <v>284.03980000000001</v>
      </c>
      <c r="P15" s="171">
        <v>292.84503380000001</v>
      </c>
      <c r="Q15" s="171">
        <v>301.63038481400002</v>
      </c>
      <c r="R15" s="171">
        <v>310.67929635842006</v>
      </c>
      <c r="S15" s="171">
        <v>319.9996752491727</v>
      </c>
      <c r="T15" s="171">
        <v>329.59966550664791</v>
      </c>
      <c r="U15" s="171">
        <v>339.48765547184735</v>
      </c>
      <c r="V15" s="167"/>
    </row>
    <row r="16" spans="1:24" s="153" customFormat="1" ht="12.75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171">
        <v>257.60000000000002</v>
      </c>
      <c r="L16" s="171">
        <v>259.60000000000002</v>
      </c>
      <c r="M16" s="171">
        <v>264.89999999999998</v>
      </c>
      <c r="N16" s="171">
        <v>275.10000000000002</v>
      </c>
      <c r="O16" s="171">
        <v>284.45340000000004</v>
      </c>
      <c r="P16" s="171">
        <v>293.27145540000004</v>
      </c>
      <c r="Q16" s="171">
        <v>302.06959906200007</v>
      </c>
      <c r="R16" s="171">
        <v>311.13168703386009</v>
      </c>
      <c r="S16" s="171">
        <v>320.46563764487593</v>
      </c>
      <c r="T16" s="171">
        <v>330.07960677422221</v>
      </c>
      <c r="U16" s="171">
        <v>339.98199497744889</v>
      </c>
      <c r="V16" s="167"/>
    </row>
    <row r="17" spans="2:22" s="153" customFormat="1" ht="12.75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171">
        <v>257.7</v>
      </c>
      <c r="L17" s="171">
        <v>259.5</v>
      </c>
      <c r="M17" s="171">
        <v>264.8</v>
      </c>
      <c r="N17" s="171">
        <v>275.3</v>
      </c>
      <c r="O17" s="171">
        <v>284.66020000000003</v>
      </c>
      <c r="P17" s="171">
        <v>293.48466619999999</v>
      </c>
      <c r="Q17" s="171">
        <v>302.289206186</v>
      </c>
      <c r="R17" s="171">
        <v>311.35788237157999</v>
      </c>
      <c r="S17" s="171">
        <v>320.6986188427274</v>
      </c>
      <c r="T17" s="171">
        <v>330.31957740800925</v>
      </c>
      <c r="U17" s="171">
        <v>340.22916473024952</v>
      </c>
      <c r="V17" s="167"/>
    </row>
    <row r="18" spans="2:22" s="153" customFormat="1" ht="12.75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171">
        <v>257.10000000000002</v>
      </c>
      <c r="L18" s="171">
        <v>259.8</v>
      </c>
      <c r="M18" s="171">
        <v>265.5</v>
      </c>
      <c r="N18" s="171">
        <v>275.8</v>
      </c>
      <c r="O18" s="171">
        <v>285.17720000000003</v>
      </c>
      <c r="P18" s="171">
        <v>294.0176932</v>
      </c>
      <c r="Q18" s="171">
        <v>302.83822399600001</v>
      </c>
      <c r="R18" s="171">
        <v>311.92337071588003</v>
      </c>
      <c r="S18" s="171">
        <v>321.28107183735642</v>
      </c>
      <c r="T18" s="171">
        <v>330.91950399247713</v>
      </c>
      <c r="U18" s="171">
        <v>340.84708911225147</v>
      </c>
      <c r="V18" s="167"/>
    </row>
    <row r="19" spans="2:22" s="153" customFormat="1" ht="12.75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171">
        <v>257.5</v>
      </c>
      <c r="L19" s="171">
        <v>260.60000000000002</v>
      </c>
      <c r="M19" s="171">
        <v>267.10000000000002</v>
      </c>
      <c r="N19" s="171">
        <v>278.10000000000002</v>
      </c>
      <c r="O19" s="171">
        <v>287.55540000000002</v>
      </c>
      <c r="P19" s="171">
        <v>296.4696174</v>
      </c>
      <c r="Q19" s="171">
        <v>305.36370592200001</v>
      </c>
      <c r="R19" s="171">
        <v>314.52461709966002</v>
      </c>
      <c r="S19" s="171">
        <v>323.96035561264983</v>
      </c>
      <c r="T19" s="171">
        <v>333.67916628102932</v>
      </c>
      <c r="U19" s="171">
        <v>343.68954126946022</v>
      </c>
      <c r="V19" s="167"/>
    </row>
    <row r="20" spans="2:22" s="153" customFormat="1" ht="12.75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171">
        <v>255.4</v>
      </c>
      <c r="L20" s="171">
        <v>258.8</v>
      </c>
      <c r="M20" s="171">
        <v>265.5</v>
      </c>
      <c r="N20" s="171">
        <v>276</v>
      </c>
      <c r="O20" s="171">
        <v>285.38400000000001</v>
      </c>
      <c r="P20" s="171">
        <v>294.23090400000001</v>
      </c>
      <c r="Q20" s="171">
        <v>303.05783112</v>
      </c>
      <c r="R20" s="171">
        <v>312.14956605359998</v>
      </c>
      <c r="S20" s="171">
        <v>321.51405303520801</v>
      </c>
      <c r="T20" s="171">
        <v>331.15947462626428</v>
      </c>
      <c r="U20" s="171">
        <v>341.09425886505221</v>
      </c>
      <c r="V20" s="167"/>
    </row>
    <row r="21" spans="2:22" s="153" customFormat="1" ht="12.75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171">
        <v>256.7</v>
      </c>
      <c r="L21" s="171">
        <v>260</v>
      </c>
      <c r="M21" s="171">
        <v>268.39999999999998</v>
      </c>
      <c r="N21" s="171">
        <v>278.10000000000002</v>
      </c>
      <c r="O21" s="171">
        <v>287.55540000000002</v>
      </c>
      <c r="P21" s="171">
        <v>296.4696174</v>
      </c>
      <c r="Q21" s="171">
        <v>305.36370592200001</v>
      </c>
      <c r="R21" s="171">
        <v>314.52461709966002</v>
      </c>
      <c r="S21" s="171">
        <v>323.96035561264983</v>
      </c>
      <c r="T21" s="171">
        <v>333.67916628102932</v>
      </c>
      <c r="U21" s="171">
        <v>343.68954126946022</v>
      </c>
      <c r="V21" s="167"/>
    </row>
    <row r="22" spans="2:22" s="153" customFormat="1" ht="12.75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171">
        <v>257.10000000000002</v>
      </c>
      <c r="L22" s="171">
        <v>261.10000000000002</v>
      </c>
      <c r="M22" s="171">
        <v>269.3</v>
      </c>
      <c r="N22" s="171">
        <v>278.3</v>
      </c>
      <c r="O22" s="171">
        <v>287.76220000000001</v>
      </c>
      <c r="P22" s="171">
        <v>296.68282819999996</v>
      </c>
      <c r="Q22" s="171">
        <v>305.58331304599994</v>
      </c>
      <c r="R22" s="171">
        <v>314.75081243737998</v>
      </c>
      <c r="S22" s="171">
        <v>324.19333681050136</v>
      </c>
      <c r="T22" s="171">
        <v>333.91913691481642</v>
      </c>
      <c r="U22" s="171">
        <v>343.93671102226091</v>
      </c>
      <c r="V22" s="167"/>
    </row>
    <row r="23" spans="2:22" s="153" customFormat="1" ht="12.75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2.75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 t="s">
        <v>152</v>
      </c>
      <c r="L24" s="202">
        <v>0</v>
      </c>
      <c r="M24" s="202">
        <v>0</v>
      </c>
      <c r="N24" s="202">
        <v>0</v>
      </c>
      <c r="O24" s="202">
        <v>0</v>
      </c>
      <c r="P24" s="202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0</v>
      </c>
      <c r="V24" s="178"/>
    </row>
    <row r="25" spans="2:22" s="177" customFormat="1" ht="12.75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2.75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255.7</v>
      </c>
      <c r="L29" s="179">
        <f t="shared" si="2"/>
        <v>258</v>
      </c>
      <c r="M29" s="179">
        <f t="shared" si="2"/>
        <v>261.39999999999998</v>
      </c>
      <c r="N29" s="179">
        <f t="shared" si="2"/>
        <v>270.60000000000002</v>
      </c>
      <c r="O29" s="179">
        <f t="shared" si="2"/>
        <v>279.80040000000002</v>
      </c>
      <c r="P29" s="179">
        <f t="shared" si="2"/>
        <v>288.4742124</v>
      </c>
      <c r="Q29" s="179">
        <f t="shared" si="2"/>
        <v>297.12843877199998</v>
      </c>
      <c r="R29" s="179">
        <f t="shared" si="2"/>
        <v>306.04229193515999</v>
      </c>
      <c r="S29" s="179">
        <f t="shared" si="2"/>
        <v>315.22356069321478</v>
      </c>
      <c r="T29" s="179">
        <f t="shared" si="2"/>
        <v>324.68026751401123</v>
      </c>
      <c r="U29" s="179">
        <f t="shared" si="2"/>
        <v>334.42067553943156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255.9</v>
      </c>
      <c r="L30" s="179">
        <f t="shared" si="3"/>
        <v>258.5</v>
      </c>
      <c r="M30" s="179">
        <f t="shared" si="3"/>
        <v>262.10000000000002</v>
      </c>
      <c r="N30" s="179">
        <f t="shared" si="3"/>
        <v>271.7</v>
      </c>
      <c r="O30" s="179">
        <f t="shared" si="3"/>
        <v>280.93779999999998</v>
      </c>
      <c r="P30" s="179">
        <f t="shared" si="3"/>
        <v>289.64687179999999</v>
      </c>
      <c r="Q30" s="179">
        <f t="shared" si="3"/>
        <v>298.33627795399997</v>
      </c>
      <c r="R30" s="179">
        <f t="shared" si="3"/>
        <v>307.28636629261996</v>
      </c>
      <c r="S30" s="179">
        <f t="shared" si="3"/>
        <v>316.50495728139856</v>
      </c>
      <c r="T30" s="179">
        <f t="shared" si="3"/>
        <v>326.00010599984051</v>
      </c>
      <c r="U30" s="179">
        <f t="shared" si="3"/>
        <v>335.78010917983573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256.3</v>
      </c>
      <c r="L31" s="179">
        <f t="shared" si="3"/>
        <v>258.89999999999998</v>
      </c>
      <c r="M31" s="179">
        <f t="shared" si="3"/>
        <v>263.10000000000002</v>
      </c>
      <c r="N31" s="179">
        <f t="shared" si="3"/>
        <v>272.3</v>
      </c>
      <c r="O31" s="179">
        <f t="shared" si="3"/>
        <v>281.5582</v>
      </c>
      <c r="P31" s="179">
        <f t="shared" si="3"/>
        <v>290.28650419999997</v>
      </c>
      <c r="Q31" s="179">
        <f t="shared" si="3"/>
        <v>298.995099326</v>
      </c>
      <c r="R31" s="179">
        <f t="shared" si="3"/>
        <v>307.96495230578</v>
      </c>
      <c r="S31" s="179">
        <f t="shared" si="3"/>
        <v>317.20390087495343</v>
      </c>
      <c r="T31" s="179">
        <f t="shared" si="3"/>
        <v>326.72001790120203</v>
      </c>
      <c r="U31" s="179">
        <f t="shared" si="3"/>
        <v>336.52161843823808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256</v>
      </c>
      <c r="L32" s="179">
        <f t="shared" si="3"/>
        <v>258.60000000000002</v>
      </c>
      <c r="M32" s="179">
        <f t="shared" si="3"/>
        <v>263.39999999999998</v>
      </c>
      <c r="N32" s="179">
        <f t="shared" si="3"/>
        <v>272.89999999999998</v>
      </c>
      <c r="O32" s="179">
        <f t="shared" si="3"/>
        <v>282.17859999999996</v>
      </c>
      <c r="P32" s="179">
        <f t="shared" si="3"/>
        <v>290.92613659999995</v>
      </c>
      <c r="Q32" s="179">
        <f t="shared" si="3"/>
        <v>299.65392069799998</v>
      </c>
      <c r="R32" s="179">
        <f t="shared" si="3"/>
        <v>308.64353831893999</v>
      </c>
      <c r="S32" s="179">
        <f t="shared" si="3"/>
        <v>317.90284446850819</v>
      </c>
      <c r="T32" s="179">
        <f t="shared" si="3"/>
        <v>327.43992980256343</v>
      </c>
      <c r="U32" s="179">
        <f t="shared" si="3"/>
        <v>337.26312769664031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257</v>
      </c>
      <c r="L33" s="179">
        <f t="shared" si="3"/>
        <v>259.8</v>
      </c>
      <c r="M33" s="179">
        <f t="shared" si="3"/>
        <v>264.39999999999998</v>
      </c>
      <c r="N33" s="179">
        <f t="shared" si="3"/>
        <v>274.7</v>
      </c>
      <c r="O33" s="179">
        <f t="shared" si="3"/>
        <v>284.03980000000001</v>
      </c>
      <c r="P33" s="179">
        <f t="shared" si="3"/>
        <v>292.84503380000001</v>
      </c>
      <c r="Q33" s="179">
        <f t="shared" si="3"/>
        <v>301.63038481400002</v>
      </c>
      <c r="R33" s="179">
        <f t="shared" si="3"/>
        <v>310.67929635842006</v>
      </c>
      <c r="S33" s="179">
        <f t="shared" si="3"/>
        <v>319.9996752491727</v>
      </c>
      <c r="T33" s="179">
        <f t="shared" si="3"/>
        <v>329.59966550664791</v>
      </c>
      <c r="U33" s="179">
        <f t="shared" si="3"/>
        <v>339.48765547184735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257.60000000000002</v>
      </c>
      <c r="L34" s="179">
        <f t="shared" si="3"/>
        <v>259.60000000000002</v>
      </c>
      <c r="M34" s="179">
        <f t="shared" si="3"/>
        <v>264.89999999999998</v>
      </c>
      <c r="N34" s="179">
        <f t="shared" si="3"/>
        <v>275.10000000000002</v>
      </c>
      <c r="O34" s="179">
        <f t="shared" si="3"/>
        <v>284.45340000000004</v>
      </c>
      <c r="P34" s="179">
        <f t="shared" si="3"/>
        <v>293.27145540000004</v>
      </c>
      <c r="Q34" s="179">
        <f t="shared" si="3"/>
        <v>302.06959906200007</v>
      </c>
      <c r="R34" s="179">
        <f t="shared" si="3"/>
        <v>311.13168703386009</v>
      </c>
      <c r="S34" s="179">
        <f t="shared" si="3"/>
        <v>320.46563764487593</v>
      </c>
      <c r="T34" s="179">
        <f t="shared" si="3"/>
        <v>330.07960677422221</v>
      </c>
      <c r="U34" s="179">
        <f t="shared" si="3"/>
        <v>339.98199497744889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257.7</v>
      </c>
      <c r="L35" s="179">
        <f t="shared" si="3"/>
        <v>259.5</v>
      </c>
      <c r="M35" s="179">
        <f t="shared" si="3"/>
        <v>264.8</v>
      </c>
      <c r="N35" s="179">
        <f t="shared" si="3"/>
        <v>275.3</v>
      </c>
      <c r="O35" s="179">
        <f t="shared" si="3"/>
        <v>284.66020000000003</v>
      </c>
      <c r="P35" s="179">
        <f t="shared" si="3"/>
        <v>293.48466619999999</v>
      </c>
      <c r="Q35" s="179">
        <f t="shared" si="3"/>
        <v>302.289206186</v>
      </c>
      <c r="R35" s="179">
        <f t="shared" si="3"/>
        <v>311.35788237157999</v>
      </c>
      <c r="S35" s="179">
        <f t="shared" si="3"/>
        <v>320.6986188427274</v>
      </c>
      <c r="T35" s="179">
        <f t="shared" si="3"/>
        <v>330.31957740800925</v>
      </c>
      <c r="U35" s="179">
        <f t="shared" si="3"/>
        <v>340.22916473024952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257.10000000000002</v>
      </c>
      <c r="L36" s="179">
        <f t="shared" si="3"/>
        <v>259.8</v>
      </c>
      <c r="M36" s="179">
        <f t="shared" si="3"/>
        <v>265.5</v>
      </c>
      <c r="N36" s="179">
        <f t="shared" si="3"/>
        <v>275.8</v>
      </c>
      <c r="O36" s="179">
        <f t="shared" si="3"/>
        <v>285.17720000000003</v>
      </c>
      <c r="P36" s="179">
        <f t="shared" si="3"/>
        <v>294.0176932</v>
      </c>
      <c r="Q36" s="179">
        <f t="shared" si="3"/>
        <v>302.83822399600001</v>
      </c>
      <c r="R36" s="179">
        <f t="shared" si="3"/>
        <v>311.92337071588003</v>
      </c>
      <c r="S36" s="179">
        <f t="shared" si="3"/>
        <v>321.28107183735642</v>
      </c>
      <c r="T36" s="179">
        <f t="shared" si="3"/>
        <v>330.91950399247713</v>
      </c>
      <c r="U36" s="179">
        <f t="shared" si="3"/>
        <v>340.84708911225147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257.5</v>
      </c>
      <c r="L37" s="179">
        <f t="shared" si="3"/>
        <v>260.60000000000002</v>
      </c>
      <c r="M37" s="179">
        <f t="shared" si="3"/>
        <v>267.10000000000002</v>
      </c>
      <c r="N37" s="179">
        <f t="shared" si="3"/>
        <v>278.10000000000002</v>
      </c>
      <c r="O37" s="179">
        <f t="shared" si="3"/>
        <v>287.55540000000002</v>
      </c>
      <c r="P37" s="179">
        <f t="shared" si="3"/>
        <v>296.4696174</v>
      </c>
      <c r="Q37" s="179">
        <f t="shared" si="3"/>
        <v>305.36370592200001</v>
      </c>
      <c r="R37" s="179">
        <f t="shared" si="3"/>
        <v>314.52461709966002</v>
      </c>
      <c r="S37" s="179">
        <f t="shared" si="3"/>
        <v>323.96035561264983</v>
      </c>
      <c r="T37" s="179">
        <f t="shared" si="3"/>
        <v>333.67916628102932</v>
      </c>
      <c r="U37" s="179">
        <f t="shared" si="3"/>
        <v>343.68954126946022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255.4</v>
      </c>
      <c r="L38" s="179">
        <f t="shared" si="3"/>
        <v>258.8</v>
      </c>
      <c r="M38" s="179">
        <f t="shared" si="3"/>
        <v>265.5</v>
      </c>
      <c r="N38" s="179">
        <f t="shared" si="3"/>
        <v>276</v>
      </c>
      <c r="O38" s="179">
        <f t="shared" si="3"/>
        <v>285.38400000000001</v>
      </c>
      <c r="P38" s="179">
        <f t="shared" si="3"/>
        <v>294.23090400000001</v>
      </c>
      <c r="Q38" s="179">
        <f t="shared" si="3"/>
        <v>303.05783112</v>
      </c>
      <c r="R38" s="179">
        <f t="shared" si="3"/>
        <v>312.14956605359998</v>
      </c>
      <c r="S38" s="179">
        <f t="shared" si="3"/>
        <v>321.51405303520801</v>
      </c>
      <c r="T38" s="179">
        <f t="shared" si="3"/>
        <v>331.15947462626428</v>
      </c>
      <c r="U38" s="179">
        <f t="shared" si="3"/>
        <v>341.09425886505221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256.7</v>
      </c>
      <c r="L39" s="179">
        <f t="shared" si="3"/>
        <v>260</v>
      </c>
      <c r="M39" s="179">
        <f t="shared" si="3"/>
        <v>268.39999999999998</v>
      </c>
      <c r="N39" s="179">
        <f t="shared" si="3"/>
        <v>278.10000000000002</v>
      </c>
      <c r="O39" s="179">
        <f t="shared" si="3"/>
        <v>287.55540000000002</v>
      </c>
      <c r="P39" s="179">
        <f t="shared" si="3"/>
        <v>296.4696174</v>
      </c>
      <c r="Q39" s="179">
        <f t="shared" si="3"/>
        <v>305.36370592200001</v>
      </c>
      <c r="R39" s="179">
        <f t="shared" si="3"/>
        <v>314.52461709966002</v>
      </c>
      <c r="S39" s="179">
        <f t="shared" si="3"/>
        <v>323.96035561264983</v>
      </c>
      <c r="T39" s="179">
        <f t="shared" si="3"/>
        <v>333.67916628102932</v>
      </c>
      <c r="U39" s="179">
        <f t="shared" si="3"/>
        <v>343.68954126946022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257.10000000000002</v>
      </c>
      <c r="L40" s="179">
        <f t="shared" si="3"/>
        <v>261.10000000000002</v>
      </c>
      <c r="M40" s="179">
        <f t="shared" si="3"/>
        <v>269.3</v>
      </c>
      <c r="N40" s="179">
        <f t="shared" si="3"/>
        <v>278.3</v>
      </c>
      <c r="O40" s="179">
        <f t="shared" si="3"/>
        <v>287.76220000000001</v>
      </c>
      <c r="P40" s="179">
        <f t="shared" si="3"/>
        <v>296.68282819999996</v>
      </c>
      <c r="Q40" s="179">
        <f t="shared" si="3"/>
        <v>305.58331304599994</v>
      </c>
      <c r="R40" s="179">
        <f t="shared" si="3"/>
        <v>314.75081243737998</v>
      </c>
      <c r="S40" s="179">
        <f t="shared" si="3"/>
        <v>324.19333681050136</v>
      </c>
      <c r="T40" s="179">
        <f t="shared" si="3"/>
        <v>333.91913691481642</v>
      </c>
      <c r="U40" s="179">
        <f t="shared" si="3"/>
        <v>343.93671102226091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256.66666666666669</v>
      </c>
      <c r="L41" s="182">
        <f t="shared" si="4"/>
        <v>259.43333333333334</v>
      </c>
      <c r="M41" s="182">
        <f t="shared" si="4"/>
        <v>264.99166666666673</v>
      </c>
      <c r="N41" s="182">
        <f t="shared" si="4"/>
        <v>274.90833333333336</v>
      </c>
      <c r="O41" s="182">
        <f t="shared" si="4"/>
        <v>284.25521666666674</v>
      </c>
      <c r="P41" s="182">
        <f t="shared" si="4"/>
        <v>293.06712838333334</v>
      </c>
      <c r="Q41" s="182">
        <f t="shared" si="4"/>
        <v>301.85914223483337</v>
      </c>
      <c r="R41" s="182">
        <f t="shared" si="4"/>
        <v>310.91491650187834</v>
      </c>
      <c r="S41" s="182">
        <f t="shared" si="4"/>
        <v>320.24236399693473</v>
      </c>
      <c r="T41" s="182">
        <f t="shared" si="4"/>
        <v>329.84963491684272</v>
      </c>
      <c r="U41" s="182">
        <f t="shared" si="4"/>
        <v>339.74512396434807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1.077987421383648</v>
      </c>
      <c r="M45" s="254">
        <f t="shared" si="5"/>
        <v>1.0893081761006289</v>
      </c>
      <c r="N45" s="254">
        <f>IF(Indexation.November.Override&lt;&gt;"",Indexation.November.Override,IF($H$36=0,0,M36/$H$36))</f>
        <v>1.1132075471698113</v>
      </c>
      <c r="O45" s="254">
        <f t="shared" si="5"/>
        <v>1.1563941299790357</v>
      </c>
      <c r="P45" s="254">
        <f t="shared" si="5"/>
        <v>1.195711530398323</v>
      </c>
      <c r="Q45" s="254">
        <f t="shared" si="5"/>
        <v>1.2327785878406707</v>
      </c>
      <c r="R45" s="254">
        <f t="shared" si="5"/>
        <v>1.2697619454758911</v>
      </c>
      <c r="S45" s="254">
        <f t="shared" si="5"/>
        <v>1.3078548038401678</v>
      </c>
      <c r="T45" s="254">
        <f t="shared" si="5"/>
        <v>1.3470904479553729</v>
      </c>
      <c r="U45" s="254">
        <f t="shared" si="5"/>
        <v>1.3875031613940341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1.0490105922822794</v>
      </c>
      <c r="L49" s="254">
        <f t="shared" si="6"/>
        <v>1.0603181090562313</v>
      </c>
      <c r="M49" s="254">
        <f t="shared" si="6"/>
        <v>1.0830353189605262</v>
      </c>
      <c r="N49" s="254">
        <f>IF(Indexation.Average.Override&lt;&gt;"",Indexation.Average.Override,IF($I41=0,0,N41/$I41))</f>
        <v>1.1235652736623414</v>
      </c>
      <c r="O49" s="254">
        <f t="shared" si="6"/>
        <v>1.1617664929668612</v>
      </c>
      <c r="P49" s="254">
        <f t="shared" si="6"/>
        <v>1.1977812542488335</v>
      </c>
      <c r="Q49" s="254">
        <f t="shared" si="6"/>
        <v>1.2337146918762987</v>
      </c>
      <c r="R49" s="254">
        <f t="shared" si="6"/>
        <v>1.2707261326325876</v>
      </c>
      <c r="S49" s="254">
        <f t="shared" si="6"/>
        <v>1.3088479166115654</v>
      </c>
      <c r="T49" s="254">
        <f t="shared" si="6"/>
        <v>1.3481133541099122</v>
      </c>
      <c r="U49" s="254">
        <f t="shared" si="6"/>
        <v>1.3885567547332098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1.9597457627118731E-2</v>
      </c>
      <c r="L51" s="188">
        <f>IF(K49=0,0,(L49/K49)-1)</f>
        <v>1.0779220779220777E-2</v>
      </c>
      <c r="M51" s="188">
        <f>IF(L49=0,0,(M49/L49)-1)</f>
        <v>2.1424900424001248E-2</v>
      </c>
      <c r="N51" s="188">
        <f t="shared" si="7"/>
        <v>3.7422560457875953E-2</v>
      </c>
      <c r="O51" s="188">
        <f t="shared" si="7"/>
        <v>3.4000000000000252E-2</v>
      </c>
      <c r="P51" s="188">
        <f t="shared" si="7"/>
        <v>3.0999999999999694E-2</v>
      </c>
      <c r="Q51" s="188">
        <f t="shared" si="7"/>
        <v>3.0000000000000027E-2</v>
      </c>
      <c r="R51" s="188">
        <f t="shared" si="7"/>
        <v>3.0000000000000027E-2</v>
      </c>
      <c r="S51" s="188">
        <f t="shared" si="7"/>
        <v>3.0000000000000249E-2</v>
      </c>
      <c r="T51" s="188">
        <f t="shared" si="7"/>
        <v>2.9999999999999805E-2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2.75">
      <c r="V4" s="135"/>
    </row>
    <row r="5" spans="1:22" ht="12.75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2.75"/>
    <row r="8" spans="1:22" ht="13.5" thickBot="1"/>
    <row r="9" spans="1:22" ht="13.5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2.75"/>
    <row r="11" spans="1:22" ht="12.75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AWS User</cp:lastModifiedBy>
  <dcterms:created xsi:type="dcterms:W3CDTF">2015-03-03T21:58:54Z</dcterms:created>
  <dcterms:modified xsi:type="dcterms:W3CDTF">2019-06-14T14:15:53Z</dcterms:modified>
</cp:coreProperties>
</file>